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14100" windowHeight="8820" activeTab="0"/>
  </bookViews>
  <sheets>
    <sheet name="dimpipe" sheetId="1" r:id="rId1"/>
    <sheet name="conversor" sheetId="2" r:id="rId2"/>
    <sheet name="deriv" sheetId="3" r:id="rId3"/>
  </sheets>
  <definedNames>
    <definedName name="Acop3">'dimpipe'!$Q$208:$AK$213</definedName>
    <definedName name="Acop6">'dimpipe'!$Q$214:$AK$216</definedName>
    <definedName name="CV">'dimpipe'!$Q$233:$AK$241</definedName>
    <definedName name="D">'dimpipe'!$P$94</definedName>
    <definedName name="D1G">'dimpipe'!$P$307</definedName>
    <definedName name="D1RANGO">'dimpipe'!$P$308:$P$322</definedName>
    <definedName name="D2G">'dimpipe'!$P$324</definedName>
    <definedName name="D2RANGO">'dimpipe'!$P$325:$P$339</definedName>
    <definedName name="D3G">'dimpipe'!$P$341</definedName>
    <definedName name="D3RANGO">'dimpipe'!$P$342:$P$356</definedName>
    <definedName name="deb150">'dimpipe'!$S$260:$U$262</definedName>
    <definedName name="deb300">'dimpipe'!$V$260:$X$262</definedName>
    <definedName name="deb600">'dimpipe'!$Y$260:$AA$262</definedName>
    <definedName name="diam">'dimpipe'!$O$99:$O$119</definedName>
    <definedName name="DIST1">'dimpipe'!$Q$308:$AK$322</definedName>
    <definedName name="DIST2">'dimpipe'!$Q$325:$AK$339</definedName>
    <definedName name="DIST3">'dimpipe'!$Q$342:$AK$356</definedName>
    <definedName name="ESP">'dimpipe'!$Q$150:$AK$165</definedName>
    <definedName name="FIT">'dimpipe'!$Q$128:$AK$133</definedName>
    <definedName name="PESO">'dimpipe'!$Q$169:$AK$184</definedName>
    <definedName name="PR150">'dimpipe'!$Q$95:$AK$124</definedName>
    <definedName name="PR300">'dimpipe'!$AL$95:$BF$124</definedName>
    <definedName name="PR600">'dimpipe'!$BG$95:$CA$124</definedName>
    <definedName name="R">'dimpipe'!$P$96</definedName>
    <definedName name="RATING">'dimpipe'!$S$288:$AA$303</definedName>
    <definedName name="REL">'dimpipe'!$P$243</definedName>
    <definedName name="RELIEF">'dimpipe'!$S$244:$W$257</definedName>
    <definedName name="RS">'dimpipe'!$P$186</definedName>
    <definedName name="SCH">'dimpipe'!$P$167</definedName>
    <definedName name="SS3000">'dimpipe'!$Q$187:$AK$196</definedName>
    <definedName name="SS6000">'dimpipe'!$Q$197:$AK$206</definedName>
    <definedName name="T">'dimpipe'!$H$3</definedName>
    <definedName name="VALV">'dimpipe'!$Q$137:$AK$147</definedName>
  </definedNames>
  <calcPr fullCalcOnLoad="1"/>
</workbook>
</file>

<file path=xl/comments1.xml><?xml version="1.0" encoding="utf-8"?>
<comments xmlns="http://schemas.openxmlformats.org/spreadsheetml/2006/main">
  <authors>
    <author>Fernando Golzman</author>
  </authors>
  <commentList>
    <comment ref="H24" authorId="0">
      <text>
        <r>
          <rPr>
            <sz val="9"/>
            <rFont val="Tahoma"/>
            <family val="2"/>
          </rPr>
          <t xml:space="preserve">Para reducciones </t>
        </r>
        <r>
          <rPr>
            <b/>
            <sz val="10"/>
            <rFont val="Tahoma"/>
            <family val="2"/>
          </rPr>
          <t xml:space="preserve">soldables </t>
        </r>
        <r>
          <rPr>
            <sz val="9"/>
            <rFont val="Tahoma"/>
            <family val="2"/>
          </rPr>
          <t xml:space="preserve">concentricas y excentricas: </t>
        </r>
        <r>
          <rPr>
            <b/>
            <sz val="9"/>
            <rFont val="Tahoma"/>
            <family val="2"/>
          </rPr>
          <t>El mínimo valor en el extremo mas chico</t>
        </r>
        <r>
          <rPr>
            <sz val="11"/>
            <rFont val="Tahoma"/>
            <family val="0"/>
          </rPr>
          <t xml:space="preserve">
</t>
        </r>
      </text>
    </comment>
    <comment ref="S218" authorId="0">
      <text>
        <r>
          <rPr>
            <sz val="9"/>
            <rFont val="Tahoma"/>
            <family val="2"/>
          </rPr>
          <t xml:space="preserve">Para reducciones concentricas y excentricas: </t>
        </r>
        <r>
          <rPr>
            <b/>
            <sz val="9"/>
            <rFont val="Tahoma"/>
            <family val="2"/>
          </rPr>
          <t>El mínimo valor en el extremo mas chico</t>
        </r>
        <r>
          <rPr>
            <sz val="11"/>
            <rFont val="Tahoma"/>
            <family val="0"/>
          </rPr>
          <t xml:space="preserve">
</t>
        </r>
      </text>
    </comment>
    <comment ref="T218" authorId="0">
      <text>
        <r>
          <rPr>
            <sz val="9"/>
            <rFont val="Tahoma"/>
            <family val="2"/>
          </rPr>
          <t xml:space="preserve">Para Swages </t>
        </r>
        <r>
          <rPr>
            <b/>
            <sz val="10"/>
            <rFont val="Tahoma"/>
            <family val="2"/>
          </rPr>
          <t>soldables</t>
        </r>
        <r>
          <rPr>
            <sz val="9"/>
            <rFont val="Tahoma"/>
            <family val="2"/>
          </rPr>
          <t xml:space="preserve"> concentricas y excentricas: </t>
        </r>
        <r>
          <rPr>
            <b/>
            <sz val="9"/>
            <rFont val="Tahoma"/>
            <family val="2"/>
          </rPr>
          <t>El mínimo valor en el extremo mas chico</t>
        </r>
        <r>
          <rPr>
            <sz val="11"/>
            <rFont val="Tahoma"/>
            <family val="0"/>
          </rPr>
          <t xml:space="preserve">
</t>
        </r>
      </text>
    </comment>
    <comment ref="I24" authorId="0">
      <text>
        <r>
          <rPr>
            <sz val="9"/>
            <rFont val="Tahoma"/>
            <family val="2"/>
          </rPr>
          <t xml:space="preserve">Para Swages </t>
        </r>
        <r>
          <rPr>
            <b/>
            <sz val="10"/>
            <rFont val="Tahoma"/>
            <family val="2"/>
          </rPr>
          <t>soldables</t>
        </r>
        <r>
          <rPr>
            <sz val="9"/>
            <rFont val="Tahoma"/>
            <family val="2"/>
          </rPr>
          <t xml:space="preserve"> concentricas y excentricas: </t>
        </r>
        <r>
          <rPr>
            <b/>
            <sz val="9"/>
            <rFont val="Tahoma"/>
            <family val="2"/>
          </rPr>
          <t>El mínimo valor en el extremo mas chico</t>
        </r>
        <r>
          <rPr>
            <sz val="11"/>
            <rFont val="Tahoma"/>
            <family val="0"/>
          </rPr>
          <t xml:space="preserve">
</t>
        </r>
      </text>
    </comment>
    <comment ref="J24" authorId="0">
      <text>
        <r>
          <rPr>
            <sz val="9"/>
            <rFont val="Tahoma"/>
            <family val="2"/>
          </rPr>
          <t xml:space="preserve">Para Swages </t>
        </r>
        <r>
          <rPr>
            <b/>
            <sz val="10"/>
            <rFont val="Tahoma"/>
            <family val="2"/>
          </rPr>
          <t>roscadas y sw</t>
        </r>
        <r>
          <rPr>
            <sz val="9"/>
            <rFont val="Tahoma"/>
            <family val="2"/>
          </rPr>
          <t xml:space="preserve"> concentricas y excentricas: </t>
        </r>
        <r>
          <rPr>
            <b/>
            <sz val="9"/>
            <rFont val="Tahoma"/>
            <family val="2"/>
          </rPr>
          <t>El mínimo valor en el extremo mas chico</t>
        </r>
        <r>
          <rPr>
            <sz val="11"/>
            <rFont val="Tahoma"/>
            <family val="0"/>
          </rPr>
          <t xml:space="preserve">
</t>
        </r>
      </text>
    </comment>
    <comment ref="U218" authorId="0">
      <text>
        <r>
          <rPr>
            <sz val="9"/>
            <rFont val="Tahoma"/>
            <family val="2"/>
          </rPr>
          <t xml:space="preserve">Para Swages </t>
        </r>
        <r>
          <rPr>
            <b/>
            <sz val="10"/>
            <rFont val="Tahoma"/>
            <family val="2"/>
          </rPr>
          <t>roscadas y sw</t>
        </r>
        <r>
          <rPr>
            <sz val="9"/>
            <rFont val="Tahoma"/>
            <family val="2"/>
          </rPr>
          <t xml:space="preserve"> concentricas y excentricas: </t>
        </r>
        <r>
          <rPr>
            <b/>
            <sz val="9"/>
            <rFont val="Tahoma"/>
            <family val="2"/>
          </rPr>
          <t>El mínimo valor en el extremo mas chico</t>
        </r>
        <r>
          <rPr>
            <sz val="11"/>
            <rFont val="Tahoma"/>
            <family val="0"/>
          </rPr>
          <t xml:space="preserve">
</t>
        </r>
      </text>
    </comment>
    <comment ref="A57" authorId="0">
      <text>
        <r>
          <rPr>
            <sz val="9"/>
            <rFont val="Tahoma"/>
            <family val="2"/>
          </rPr>
          <t xml:space="preserve">For Control Valves series air to open actuator F.O. add 300 mm to diemension C
</t>
        </r>
      </text>
    </comment>
    <comment ref="B49" authorId="0">
      <text>
        <r>
          <rPr>
            <b/>
            <sz val="11"/>
            <rFont val="Tahoma"/>
            <family val="0"/>
          </rPr>
          <t>Massoneilan 10.000 series air to close actuator F.C.</t>
        </r>
        <r>
          <rPr>
            <sz val="11"/>
            <rFont val="Tahoma"/>
            <family val="0"/>
          </rPr>
          <t xml:space="preserve">
</t>
        </r>
      </text>
    </comment>
    <comment ref="D1" authorId="0">
      <text>
        <r>
          <rPr>
            <b/>
            <sz val="10"/>
            <rFont val="Tahoma"/>
            <family val="2"/>
          </rPr>
          <t>IMPORTANTE</t>
        </r>
        <r>
          <rPr>
            <sz val="9"/>
            <rFont val="Tahoma"/>
            <family val="2"/>
          </rPr>
          <t>: El autor no se hace responsable por eventuales errores de esta planilla y agradecerá a los usuarios toda revisión que surja de sus propios controles.</t>
        </r>
      </text>
    </comment>
    <comment ref="G1" authorId="0">
      <text>
        <r>
          <rPr>
            <b/>
            <sz val="11"/>
            <rFont val="Tahoma"/>
            <family val="0"/>
          </rPr>
          <t>Comentarios:</t>
        </r>
        <r>
          <rPr>
            <sz val="11"/>
            <rFont val="Tahoma"/>
            <family val="0"/>
          </rPr>
          <t xml:space="preserve">
</t>
        </r>
        <r>
          <rPr>
            <sz val="10"/>
            <rFont val="Tahoma"/>
            <family val="2"/>
          </rPr>
          <t xml:space="preserve">Este documento está basado en el cursor de </t>
        </r>
        <r>
          <rPr>
            <b/>
            <sz val="10"/>
            <rFont val="Tahoma"/>
            <family val="2"/>
          </rPr>
          <t>Foster Wheeler Iberia</t>
        </r>
        <r>
          <rPr>
            <sz val="10"/>
            <rFont val="Tahoma"/>
            <family val="2"/>
          </rPr>
          <t xml:space="preserve">.
A medida que se consigan más datos se van a incorporar a la misma, a efectos de evitar las consultas fuera del ámbito de su PC.
Los datos de la cañería están en su mayor parte en el encabezamiento de la planilla.
Coloque en los menús desplegables los datos que Ud. posea de la cañería, diámetro nominal, serie (pressure rating) tanto para las bridas y válvulas como para los accesorios roscados y socket weld y el schedule de la cañería. Luego puede consultar las medidas de los accesorios y válvulas. 
Los datos se colocan sólo una vez y son válidos para todos los cuadros de resultados.
</t>
        </r>
        <r>
          <rPr>
            <b/>
            <sz val="10"/>
            <rFont val="Tahoma"/>
            <family val="2"/>
          </rPr>
          <t>Excepciones:</t>
        </r>
        <r>
          <rPr>
            <sz val="10"/>
            <rFont val="Tahoma"/>
            <family val="2"/>
          </rPr>
          <t xml:space="preserve">
Para el caso de las dimensiones mínimas de las reducciones y swages, sólo despliegue el menú y encontrará el dato requerido.
Para el caso de válvulas de alivio y seguridad, entre con la letra del orificio y hallará los datos de la válvula.
</t>
        </r>
        <r>
          <rPr>
            <b/>
            <sz val="10"/>
            <rFont val="Tahoma"/>
            <family val="2"/>
          </rPr>
          <t>Cómo se usa esta planilla:</t>
        </r>
        <r>
          <rPr>
            <sz val="10"/>
            <rFont val="Tahoma"/>
            <family val="2"/>
          </rPr>
          <t xml:space="preserve">
Cuando Ud. está trabajando en un documento (por ej, Autocad) abra </t>
        </r>
        <r>
          <rPr>
            <b/>
            <sz val="10"/>
            <rFont val="Tahoma"/>
            <family val="2"/>
          </rPr>
          <t>también</t>
        </r>
        <r>
          <rPr>
            <sz val="10"/>
            <rFont val="Tahoma"/>
            <family val="2"/>
          </rPr>
          <t xml:space="preserve"> el Excel y DIMPIPE. Pase de un programa a otro pulsando simultáneamente </t>
        </r>
        <r>
          <rPr>
            <sz val="10"/>
            <color indexed="10"/>
            <rFont val="Tahoma"/>
            <family val="2"/>
          </rPr>
          <t>Alt-Tab</t>
        </r>
        <r>
          <rPr>
            <sz val="10"/>
            <rFont val="Tahoma"/>
            <family val="2"/>
          </rPr>
          <t xml:space="preserve"> </t>
        </r>
      </text>
    </comment>
    <comment ref="J3" authorId="0">
      <text>
        <r>
          <rPr>
            <b/>
            <sz val="11"/>
            <rFont val="Tahoma"/>
            <family val="0"/>
          </rPr>
          <t>Maximum ratings for flanges conforming to ANSI Standard B16.5 dimensions and material specifications ASTM A-105. Degree Fahrenheit and pressure psi.</t>
        </r>
        <r>
          <rPr>
            <sz val="11"/>
            <rFont val="Tahoma"/>
            <family val="0"/>
          </rPr>
          <t xml:space="preserve">
</t>
        </r>
      </text>
    </comment>
  </commentList>
</comments>
</file>

<file path=xl/sharedStrings.xml><?xml version="1.0" encoding="utf-8"?>
<sst xmlns="http://schemas.openxmlformats.org/spreadsheetml/2006/main" count="2023" uniqueCount="219">
  <si>
    <t>1/2"</t>
  </si>
  <si>
    <t>3/4"</t>
  </si>
  <si>
    <t>1-1/4</t>
  </si>
  <si>
    <t>1-1/2</t>
  </si>
  <si>
    <t>2</t>
  </si>
  <si>
    <t>2-1/2</t>
  </si>
  <si>
    <t>3</t>
  </si>
  <si>
    <t>4</t>
  </si>
  <si>
    <t>5</t>
  </si>
  <si>
    <t>6</t>
  </si>
  <si>
    <t>8</t>
  </si>
  <si>
    <t>10</t>
  </si>
  <si>
    <t>12</t>
  </si>
  <si>
    <t>14</t>
  </si>
  <si>
    <t>16</t>
  </si>
  <si>
    <t>18</t>
  </si>
  <si>
    <t>20</t>
  </si>
  <si>
    <t>24</t>
  </si>
  <si>
    <t>-</t>
  </si>
  <si>
    <t>VÁLVULAS 150# - RF-RTJ</t>
  </si>
  <si>
    <t>Diam. Nom.</t>
  </si>
  <si>
    <t>Rating</t>
  </si>
  <si>
    <t>Celdas vinculantes</t>
  </si>
  <si>
    <t>Diam.Nom.</t>
  </si>
  <si>
    <t>4 - 1/2"</t>
  </si>
  <si>
    <t>4 - 5/8"</t>
  </si>
  <si>
    <t>8 - 5/8"</t>
  </si>
  <si>
    <t>8 - 3/4"</t>
  </si>
  <si>
    <t>12 - 7/8"</t>
  </si>
  <si>
    <t>12 - 1"</t>
  </si>
  <si>
    <t>16 - 1"</t>
  </si>
  <si>
    <t>16 - 1-1/8"</t>
  </si>
  <si>
    <t>20 - 1-1/8"</t>
  </si>
  <si>
    <t>20 - 1-1/4"</t>
  </si>
  <si>
    <t>4 - 3/4"</t>
  </si>
  <si>
    <t>12 - 3/4"</t>
  </si>
  <si>
    <t>24 - 1-1/4"</t>
  </si>
  <si>
    <t>24 - 1-1/2"</t>
  </si>
  <si>
    <t>8 - 7/8"</t>
  </si>
  <si>
    <t>8 - 1"</t>
  </si>
  <si>
    <t>12 - 1-1/8"</t>
  </si>
  <si>
    <t>16 - 1-1/4"</t>
  </si>
  <si>
    <t>20 - 1-3/8"</t>
  </si>
  <si>
    <t>20 - 1-1/2"</t>
  </si>
  <si>
    <t>20 - 1-5/8"</t>
  </si>
  <si>
    <t>24 - 1-5/8"</t>
  </si>
  <si>
    <t>24 - 1-7/8"</t>
  </si>
  <si>
    <t>PIPE &amp; WELDING FITTINGS</t>
  </si>
  <si>
    <t>PIPE DIAMETER</t>
  </si>
  <si>
    <t>PIPE RADIUS</t>
  </si>
  <si>
    <t>SWAGES BW X THDD</t>
  </si>
  <si>
    <t>REDUCERS BW X BW</t>
  </si>
  <si>
    <t>CAPS</t>
  </si>
  <si>
    <t>TEES</t>
  </si>
  <si>
    <t>VÁLVULAS CHICAS</t>
  </si>
  <si>
    <t>600 # &amp; 125 #</t>
  </si>
  <si>
    <t>SCHEDULE</t>
  </si>
  <si>
    <t>STD - 40S</t>
  </si>
  <si>
    <t>XS - 80S</t>
  </si>
  <si>
    <t>XX</t>
  </si>
  <si>
    <t>5S</t>
  </si>
  <si>
    <t>10S</t>
  </si>
  <si>
    <t>PESO</t>
  </si>
  <si>
    <t>Nº INDICE</t>
  </si>
  <si>
    <t>Schedule</t>
  </si>
  <si>
    <t>Peso kg/m</t>
  </si>
  <si>
    <t>ESPESOR</t>
  </si>
  <si>
    <t>PESO POR METRO</t>
  </si>
  <si>
    <t>Long. m</t>
  </si>
  <si>
    <t>Peso - kg</t>
  </si>
  <si>
    <t>screwed &amp; sw fittings</t>
  </si>
  <si>
    <t>Espesor--mm</t>
  </si>
  <si>
    <t>150 #</t>
  </si>
  <si>
    <t>300 #</t>
  </si>
  <si>
    <t>600 #</t>
  </si>
  <si>
    <t>3000 #</t>
  </si>
  <si>
    <t>6000 #</t>
  </si>
  <si>
    <t>acoples 3000 #</t>
  </si>
  <si>
    <t>Acoples 6000 #</t>
  </si>
  <si>
    <t>Min.All.S.End</t>
  </si>
  <si>
    <t>24 x 16</t>
  </si>
  <si>
    <t>20 x 12</t>
  </si>
  <si>
    <t>18 x 10</t>
  </si>
  <si>
    <t>16 x 8</t>
  </si>
  <si>
    <t>14 x 6</t>
  </si>
  <si>
    <t>12 x 5</t>
  </si>
  <si>
    <t>10 x 4</t>
  </si>
  <si>
    <t>5 x 2</t>
  </si>
  <si>
    <t>4 x 1</t>
  </si>
  <si>
    <t>3 x 1</t>
  </si>
  <si>
    <t>2 x 3/4</t>
  </si>
  <si>
    <t>1-1/2 x 1/2</t>
  </si>
  <si>
    <t>2-1/2 x 1</t>
  </si>
  <si>
    <t>3 x 1-1/4</t>
  </si>
  <si>
    <t>4 x 1-1/2</t>
  </si>
  <si>
    <t>8 x 3-1/2</t>
  </si>
  <si>
    <t>6 x 2-1/2</t>
  </si>
  <si>
    <t>2 x 1/4</t>
  </si>
  <si>
    <t>1-1/2 x 1/4</t>
  </si>
  <si>
    <t>1 x 1/4</t>
  </si>
  <si>
    <t>3/4 x 1/4</t>
  </si>
  <si>
    <t>1/2 x 1/4</t>
  </si>
  <si>
    <t>1-1/4 x 1/4</t>
  </si>
  <si>
    <t>Rating-Sold.</t>
  </si>
  <si>
    <t>Rating-SC-SW</t>
  </si>
  <si>
    <t>A =</t>
  </si>
  <si>
    <t>B =</t>
  </si>
  <si>
    <t>D =</t>
  </si>
  <si>
    <t>C =</t>
  </si>
  <si>
    <t>150 - RF</t>
  </si>
  <si>
    <t>150 - RTJ</t>
  </si>
  <si>
    <t>300 - RF</t>
  </si>
  <si>
    <t>300 - RTJ</t>
  </si>
  <si>
    <t>600 - RF</t>
  </si>
  <si>
    <t>600 - RTJ</t>
  </si>
  <si>
    <t>Valores de A</t>
  </si>
  <si>
    <t>B</t>
  </si>
  <si>
    <t>C</t>
  </si>
  <si>
    <t>D</t>
  </si>
  <si>
    <t>Válvulas de control</t>
  </si>
  <si>
    <t>A (RF)=</t>
  </si>
  <si>
    <t>A (RTJ) =</t>
  </si>
  <si>
    <t>Válvulas de Control</t>
  </si>
  <si>
    <t>Orificio tipo</t>
  </si>
  <si>
    <t>E</t>
  </si>
  <si>
    <t>F</t>
  </si>
  <si>
    <t>G</t>
  </si>
  <si>
    <t>H</t>
  </si>
  <si>
    <t>J</t>
  </si>
  <si>
    <t>K</t>
  </si>
  <si>
    <t>L</t>
  </si>
  <si>
    <t>M</t>
  </si>
  <si>
    <t>N</t>
  </si>
  <si>
    <t>S</t>
  </si>
  <si>
    <t>S1</t>
  </si>
  <si>
    <t>P</t>
  </si>
  <si>
    <t>Q</t>
  </si>
  <si>
    <t>TIPO VA.</t>
  </si>
  <si>
    <t>A</t>
  </si>
  <si>
    <t>1"</t>
  </si>
  <si>
    <t>2"</t>
  </si>
  <si>
    <t>IN 300</t>
  </si>
  <si>
    <t>OUT 150</t>
  </si>
  <si>
    <t>1-1/2"</t>
  </si>
  <si>
    <t>2-1/2"</t>
  </si>
  <si>
    <t>3"</t>
  </si>
  <si>
    <t>4"</t>
  </si>
  <si>
    <t>6"</t>
  </si>
  <si>
    <t>8"</t>
  </si>
  <si>
    <t>10"</t>
  </si>
  <si>
    <r>
      <t>Reducciones:</t>
    </r>
    <r>
      <rPr>
        <b/>
        <sz val="8"/>
        <rFont val="Arial"/>
        <family val="2"/>
      </rPr>
      <t xml:space="preserve"> Valores mín. de fabricación</t>
    </r>
  </si>
  <si>
    <t>Válvulas de seg/alivio Crosby</t>
  </si>
  <si>
    <t>Distancias entre caras de bridas</t>
  </si>
  <si>
    <t>Normal G.</t>
  </si>
  <si>
    <t>Drip Ring</t>
  </si>
  <si>
    <t>Temp. Strainer</t>
  </si>
  <si>
    <t>RF</t>
  </si>
  <si>
    <t xml:space="preserve">2" - 12" </t>
  </si>
  <si>
    <t>14" - 24"</t>
  </si>
  <si>
    <t>RTJ</t>
  </si>
  <si>
    <t>Gauge Pressure (kPa) </t>
  </si>
  <si>
    <t>Flanges Classes 150 – 2500</t>
  </si>
  <si>
    <r>
      <t xml:space="preserve">Temperature  </t>
    </r>
    <r>
      <rPr>
        <b/>
        <vertAlign val="superscript"/>
        <sz val="10"/>
        <rFont val="Verdana"/>
        <family val="2"/>
      </rPr>
      <t>o</t>
    </r>
    <r>
      <rPr>
        <b/>
        <sz val="10"/>
        <rFont val="Verdana"/>
        <family val="2"/>
      </rPr>
      <t>C</t>
    </r>
  </si>
  <si>
    <t>TEMP</t>
  </si>
  <si>
    <t>THIS TEMP.</t>
  </si>
  <si>
    <t>THIS PRESSURE</t>
  </si>
  <si>
    <t>NEXT TEMP</t>
  </si>
  <si>
    <t>NEXT PRESSURE</t>
  </si>
  <si>
    <t>DIF INF</t>
  </si>
  <si>
    <t>DIF SUP</t>
  </si>
  <si>
    <t>DIF TOTAL</t>
  </si>
  <si>
    <t>PRESIÓN INTERP.</t>
  </si>
  <si>
    <t>Temp. ºC</t>
  </si>
  <si>
    <t>Max. Presión Admisible</t>
  </si>
  <si>
    <t>kg/cm2</t>
  </si>
  <si>
    <t>Gage Pressure in psi for flanges Classes 150 – 2500</t>
  </si>
  <si>
    <t>Temperature deg F</t>
  </si>
  <si>
    <t>Psi</t>
  </si>
  <si>
    <t>Temp. ºF</t>
  </si>
  <si>
    <t xml:space="preserve">                    Ponga aquí el cursor</t>
  </si>
  <si>
    <t>MPa</t>
  </si>
  <si>
    <r>
      <t>AYUDA</t>
    </r>
    <r>
      <rPr>
        <sz val="12"/>
        <color indexed="53"/>
        <rFont val="Arial"/>
        <family val="2"/>
      </rPr>
      <t>.</t>
    </r>
  </si>
  <si>
    <t>1/4</t>
  </si>
  <si>
    <t>3/8</t>
  </si>
  <si>
    <t>1/4"</t>
  </si>
  <si>
    <t>3/8"</t>
  </si>
  <si>
    <t>1-1/4"</t>
  </si>
  <si>
    <t>5"</t>
  </si>
  <si>
    <t>12"</t>
  </si>
  <si>
    <t>14"</t>
  </si>
  <si>
    <t>16"</t>
  </si>
  <si>
    <t>18"</t>
  </si>
  <si>
    <t>20"</t>
  </si>
  <si>
    <t>24"</t>
  </si>
  <si>
    <t>con</t>
  </si>
  <si>
    <t xml:space="preserve">Superfiecie exterior-m2/m  </t>
  </si>
  <si>
    <t xml:space="preserve">Peso lleno de agua- kg/m  </t>
  </si>
  <si>
    <r>
      <t>IMPORTANTE</t>
    </r>
    <r>
      <rPr>
        <sz val="10"/>
        <rFont val="Arial"/>
        <family val="0"/>
      </rPr>
      <t>. Ponga aquí el cursor</t>
    </r>
  </si>
  <si>
    <t>Volumen Contenido - litros/m</t>
  </si>
  <si>
    <t>English</t>
  </si>
  <si>
    <t>Metric</t>
  </si>
  <si>
    <r>
      <t>Password :</t>
    </r>
    <r>
      <rPr>
        <sz val="10"/>
        <rFont val="Arial"/>
        <family val="0"/>
      </rPr>
      <t xml:space="preserve"> </t>
    </r>
    <r>
      <rPr>
        <b/>
        <sz val="8"/>
        <color indexed="10"/>
        <rFont val="Arial"/>
        <family val="2"/>
      </rPr>
      <t>ABB</t>
    </r>
  </si>
  <si>
    <t>Total</t>
  </si>
  <si>
    <t>Millimeters</t>
  </si>
  <si>
    <t>Meters</t>
  </si>
  <si>
    <t>Feet</t>
  </si>
  <si>
    <t>Inches</t>
  </si>
  <si>
    <t>Key in Feet &amp; Inches Below</t>
  </si>
  <si>
    <t>Key in Millimeters Below</t>
  </si>
  <si>
    <t>Cálculo del largo del caño de derivación según formula del tipico de Techint TP-201</t>
  </si>
  <si>
    <t>De</t>
  </si>
  <si>
    <t>Diámetro del Colector</t>
  </si>
  <si>
    <t>de</t>
  </si>
  <si>
    <t>Diámetro de la derivación</t>
  </si>
  <si>
    <t>mm</t>
  </si>
  <si>
    <t>X</t>
  </si>
  <si>
    <t>Y</t>
  </si>
  <si>
    <t>De-X</t>
  </si>
  <si>
    <t xml:space="preserve"> + 50mm</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</si>
</sst>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
    <numFmt numFmtId="173" formatCode="0.0000"/>
    <numFmt numFmtId="174" formatCode="0.0"/>
  </numFmts>
  <fonts count="69">
    <font>
      <sz val="10"/>
      <name val="Arial"/>
      <family val="0"/>
    </font>
    <font>
      <b/>
      <sz val="10"/>
      <name val="Arial"/>
      <family val="2"/>
    </font>
    <font>
      <sz val="8"/>
      <name val="Arial"/>
      <family val="0"/>
    </font>
    <font>
      <b/>
      <sz val="12"/>
      <name val="Arial"/>
      <family val="2"/>
    </font>
    <font>
      <u val="single"/>
      <sz val="10"/>
      <color indexed="12"/>
      <name val="Arial"/>
      <family val="0"/>
    </font>
    <font>
      <u val="single"/>
      <sz val="10"/>
      <color indexed="36"/>
      <name val="Arial"/>
      <family val="0"/>
    </font>
    <font>
      <b/>
      <sz val="10"/>
      <color indexed="10"/>
      <name val="Arial"/>
      <family val="2"/>
    </font>
    <font>
      <sz val="11"/>
      <name val="Tahoma"/>
      <family val="0"/>
    </font>
    <font>
      <b/>
      <sz val="11"/>
      <name val="Tahoma"/>
      <family val="0"/>
    </font>
    <font>
      <sz val="9"/>
      <name val="Tahoma"/>
      <family val="2"/>
    </font>
    <font>
      <b/>
      <sz val="9"/>
      <name val="Tahoma"/>
      <family val="2"/>
    </font>
    <font>
      <b/>
      <sz val="10"/>
      <name val="Tahoma"/>
      <family val="2"/>
    </font>
    <font>
      <b/>
      <sz val="9"/>
      <name val="Arial"/>
      <family val="2"/>
    </font>
    <font>
      <sz val="9"/>
      <name val="Arial"/>
      <family val="0"/>
    </font>
    <font>
      <sz val="10"/>
      <color indexed="57"/>
      <name val="Arial"/>
      <family val="0"/>
    </font>
    <font>
      <b/>
      <i/>
      <sz val="8"/>
      <name val="Arial"/>
      <family val="2"/>
    </font>
    <font>
      <sz val="10"/>
      <name val="Tahoma"/>
      <family val="2"/>
    </font>
    <font>
      <sz val="10"/>
      <color indexed="10"/>
      <name val="Tahoma"/>
      <family val="2"/>
    </font>
    <font>
      <b/>
      <sz val="8"/>
      <name val="Arial"/>
      <family val="2"/>
    </font>
    <font>
      <b/>
      <sz val="10"/>
      <name val="Verdana"/>
      <family val="2"/>
    </font>
    <font>
      <b/>
      <sz val="10"/>
      <color indexed="9"/>
      <name val="Verdana"/>
      <family val="2"/>
    </font>
    <font>
      <b/>
      <vertAlign val="superscript"/>
      <sz val="10"/>
      <name val="Verdana"/>
      <family val="2"/>
    </font>
    <font>
      <sz val="10"/>
      <name val="Verdana"/>
      <family val="2"/>
    </font>
    <font>
      <b/>
      <sz val="12"/>
      <color indexed="53"/>
      <name val="Arial"/>
      <family val="2"/>
    </font>
    <font>
      <sz val="12"/>
      <color indexed="53"/>
      <name val="Arial"/>
      <family val="2"/>
    </font>
    <font>
      <b/>
      <i/>
      <sz val="12"/>
      <color indexed="12"/>
      <name val="Arial"/>
      <family val="2"/>
    </font>
    <font>
      <b/>
      <sz val="8"/>
      <color indexed="10"/>
      <name val="Arial"/>
      <family val="2"/>
    </font>
    <font>
      <b/>
      <sz val="12"/>
      <color indexed="12"/>
      <name val="Arial"/>
      <family val="2"/>
    </font>
    <font>
      <sz val="10"/>
      <color indexed="10"/>
      <name val="Arial"/>
      <family val="0"/>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color indexed="8"/>
      <name val="Arial Rounded MT Bold"/>
      <family val="0"/>
    </font>
    <font>
      <b/>
      <sz val="20"/>
      <color indexed="8"/>
      <name val="Arial Rounded MT Bold"/>
      <family val="0"/>
    </font>
    <font>
      <sz val="10"/>
      <color indexed="8"/>
      <name val="Arial"/>
      <family val="0"/>
    </font>
    <font>
      <b/>
      <sz val="10"/>
      <color indexed="8"/>
      <name val="Arial"/>
      <family val="0"/>
    </font>
    <font>
      <sz val="8"/>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13"/>
        <bgColor indexed="64"/>
      </patternFill>
    </fill>
    <fill>
      <patternFill patternType="solid">
        <fgColor indexed="9"/>
        <bgColor indexed="64"/>
      </patternFill>
    </fill>
    <fill>
      <patternFill patternType="solid">
        <fgColor indexed="44"/>
        <bgColor indexed="64"/>
      </patternFill>
    </fill>
    <fill>
      <patternFill patternType="solid">
        <fgColor indexed="10"/>
        <bgColor indexed="64"/>
      </patternFill>
    </fill>
    <fill>
      <patternFill patternType="solid">
        <fgColor indexed="15"/>
        <bgColor indexed="64"/>
      </patternFill>
    </fill>
  </fills>
  <borders count="9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color indexed="63"/>
      </bottom>
    </border>
    <border>
      <left style="thin"/>
      <right style="thin"/>
      <top style="thin"/>
      <bottom>
        <color indexed="63"/>
      </bottom>
    </border>
    <border>
      <left style="thin"/>
      <right style="thin"/>
      <top style="thin"/>
      <bottom style="medium"/>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n"/>
      <right style="thick"/>
      <top style="thin"/>
      <bottom style="medium"/>
    </border>
    <border>
      <left style="thick"/>
      <right style="thin"/>
      <top style="thin"/>
      <bottom style="thick"/>
    </border>
    <border>
      <left style="thin"/>
      <right style="thin"/>
      <top style="thin"/>
      <bottom style="thick"/>
    </border>
    <border>
      <left style="thin"/>
      <right style="thick"/>
      <top style="thin"/>
      <bottom style="thick"/>
    </border>
    <border>
      <left style="thick"/>
      <right style="thin"/>
      <top style="thick"/>
      <bottom style="thin"/>
    </border>
    <border>
      <left style="thick"/>
      <right style="thin"/>
      <top style="thin"/>
      <bottom style="medium"/>
    </border>
    <border>
      <left style="medium"/>
      <right style="medium"/>
      <top style="medium"/>
      <bottom style="medium"/>
    </border>
    <border>
      <left style="medium"/>
      <right style="medium"/>
      <top>
        <color indexed="63"/>
      </top>
      <bottom style="medium"/>
    </border>
    <border>
      <left style="thick"/>
      <right>
        <color indexed="63"/>
      </right>
      <top style="thin"/>
      <bottom style="thin"/>
    </border>
    <border>
      <left style="thin"/>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style="thin"/>
    </border>
    <border>
      <left style="thin"/>
      <right style="medium"/>
      <top>
        <color indexed="63"/>
      </top>
      <bottom style="thin"/>
    </border>
    <border>
      <left style="medium"/>
      <right style="medium"/>
      <top style="medium"/>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thin"/>
      <bottom>
        <color indexed="63"/>
      </bottom>
    </border>
    <border>
      <left style="medium"/>
      <right style="thin"/>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color indexed="16"/>
      </left>
      <right style="thin">
        <color indexed="16"/>
      </right>
      <top style="thin">
        <color indexed="16"/>
      </top>
      <bottom style="thin">
        <color indexed="16"/>
      </bottom>
    </border>
    <border>
      <left style="thin">
        <color indexed="16"/>
      </left>
      <right style="thin">
        <color indexed="16"/>
      </right>
      <top>
        <color indexed="63"/>
      </top>
      <bottom>
        <color indexed="6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16"/>
      </left>
      <right>
        <color indexed="63"/>
      </right>
      <top style="thin">
        <color indexed="16"/>
      </top>
      <bottom style="thin">
        <color indexed="16"/>
      </bottom>
    </border>
    <border>
      <left>
        <color indexed="63"/>
      </left>
      <right>
        <color indexed="63"/>
      </right>
      <top style="thin">
        <color indexed="16"/>
      </top>
      <bottom style="thin">
        <color indexed="16"/>
      </bottom>
    </border>
    <border>
      <left>
        <color indexed="63"/>
      </left>
      <right style="thin">
        <color indexed="16"/>
      </right>
      <top style="thin">
        <color indexed="16"/>
      </top>
      <bottom style="thin">
        <color indexed="16"/>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color indexed="63"/>
      </top>
      <bottom style="medium"/>
    </border>
    <border>
      <left style="thick"/>
      <right>
        <color indexed="63"/>
      </right>
      <top style="thick"/>
      <bottom style="thin"/>
    </border>
    <border>
      <left style="thick"/>
      <right>
        <color indexed="63"/>
      </right>
      <top style="thin"/>
      <bottom style="medium"/>
    </border>
    <border>
      <left>
        <color indexed="63"/>
      </left>
      <right style="thin"/>
      <top style="thick"/>
      <bottom style="thin"/>
    </border>
    <border>
      <left>
        <color indexed="63"/>
      </left>
      <right style="thin"/>
      <top style="thin"/>
      <bottom style="thin"/>
    </border>
    <border>
      <left>
        <color indexed="63"/>
      </left>
      <right style="thin"/>
      <top style="thin"/>
      <bottom style="medium"/>
    </border>
    <border>
      <left>
        <color indexed="63"/>
      </left>
      <right>
        <color indexed="63"/>
      </right>
      <top style="thin"/>
      <bottom>
        <color indexed="63"/>
      </bottom>
    </border>
    <border>
      <left>
        <color indexed="63"/>
      </left>
      <right style="thin"/>
      <top style="medium"/>
      <bottom style="thin"/>
    </border>
    <border>
      <left>
        <color indexed="63"/>
      </left>
      <right style="thin"/>
      <top>
        <color indexed="63"/>
      </top>
      <bottom style="thin"/>
    </border>
    <border>
      <left style="thin"/>
      <right style="thin"/>
      <top>
        <color indexed="63"/>
      </top>
      <bottom>
        <color indexed="63"/>
      </bottom>
    </border>
    <border>
      <left style="thick"/>
      <right style="thick"/>
      <top style="thick"/>
      <bottom>
        <color indexed="63"/>
      </bottom>
    </border>
    <border>
      <left style="double">
        <color indexed="12"/>
      </left>
      <right>
        <color indexed="63"/>
      </right>
      <top style="double">
        <color indexed="12"/>
      </top>
      <bottom>
        <color indexed="63"/>
      </bottom>
    </border>
    <border>
      <left>
        <color indexed="63"/>
      </left>
      <right style="double">
        <color indexed="12"/>
      </right>
      <top style="double">
        <color indexed="12"/>
      </top>
      <bottom>
        <color indexed="63"/>
      </bottom>
    </border>
    <border>
      <left style="double">
        <color indexed="12"/>
      </left>
      <right style="double">
        <color indexed="12"/>
      </right>
      <top style="double">
        <color indexed="12"/>
      </top>
      <bottom>
        <color indexed="63"/>
      </bottom>
    </border>
    <border>
      <left>
        <color indexed="63"/>
      </left>
      <right style="thick"/>
      <top>
        <color indexed="63"/>
      </top>
      <bottom>
        <color indexed="63"/>
      </bottom>
    </border>
    <border>
      <left style="double">
        <color indexed="12"/>
      </left>
      <right>
        <color indexed="63"/>
      </right>
      <top>
        <color indexed="63"/>
      </top>
      <bottom>
        <color indexed="63"/>
      </bottom>
    </border>
    <border>
      <left>
        <color indexed="63"/>
      </left>
      <right style="double">
        <color indexed="12"/>
      </right>
      <top>
        <color indexed="63"/>
      </top>
      <bottom>
        <color indexed="63"/>
      </bottom>
    </border>
    <border>
      <left style="double">
        <color indexed="12"/>
      </left>
      <right style="double">
        <color indexed="12"/>
      </right>
      <top>
        <color indexed="63"/>
      </top>
      <bottom>
        <color indexed="63"/>
      </bottom>
    </border>
    <border>
      <left style="double">
        <color indexed="12"/>
      </left>
      <right>
        <color indexed="63"/>
      </right>
      <top>
        <color indexed="63"/>
      </top>
      <bottom style="double">
        <color indexed="12"/>
      </bottom>
    </border>
    <border>
      <left>
        <color indexed="63"/>
      </left>
      <right style="double">
        <color indexed="12"/>
      </right>
      <top>
        <color indexed="63"/>
      </top>
      <bottom style="double">
        <color indexed="12"/>
      </bottom>
    </border>
    <border>
      <left style="double">
        <color indexed="12"/>
      </left>
      <right style="double">
        <color indexed="12"/>
      </right>
      <top>
        <color indexed="63"/>
      </top>
      <bottom style="double">
        <color indexed="12"/>
      </bottom>
    </border>
    <border>
      <left style="thick"/>
      <right style="thick"/>
      <top>
        <color indexed="63"/>
      </top>
      <bottom>
        <color indexed="63"/>
      </bottom>
    </border>
    <border>
      <left style="double"/>
      <right style="double"/>
      <top style="double"/>
      <bottom style="thin"/>
    </border>
    <border>
      <left style="double"/>
      <right style="double"/>
      <top style="double"/>
      <bottom>
        <color indexed="63"/>
      </bottom>
    </border>
    <border>
      <left style="double"/>
      <right>
        <color indexed="63"/>
      </right>
      <top style="double"/>
      <bottom>
        <color indexed="63"/>
      </bottom>
    </border>
    <border>
      <left style="double"/>
      <right style="double"/>
      <top style="thin"/>
      <bottom style="thin"/>
    </border>
    <border>
      <left style="double"/>
      <right style="thick"/>
      <top style="thin"/>
      <bottom style="thin"/>
    </border>
    <border>
      <left style="medium"/>
      <right style="medium"/>
      <top>
        <color indexed="63"/>
      </top>
      <bottom>
        <color indexed="63"/>
      </bottom>
    </border>
    <border>
      <left style="thin"/>
      <right>
        <color indexed="63"/>
      </right>
      <top style="thin"/>
      <bottom style="thin"/>
    </border>
    <border>
      <left>
        <color indexed="63"/>
      </left>
      <right style="medium"/>
      <top>
        <color indexed="63"/>
      </top>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9"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62" fillId="21" borderId="5"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0" borderId="7" applyNumberFormat="0" applyFill="0" applyAlignment="0" applyProtection="0"/>
    <xf numFmtId="0" fontId="58" fillId="0" borderId="8" applyNumberFormat="0" applyFill="0" applyAlignment="0" applyProtection="0"/>
    <xf numFmtId="0" fontId="68" fillId="0" borderId="9" applyNumberFormat="0" applyFill="0" applyAlignment="0" applyProtection="0"/>
  </cellStyleXfs>
  <cellXfs count="283">
    <xf numFmtId="0" fontId="0" fillId="0" borderId="0" xfId="0" applyAlignment="1">
      <alignment/>
    </xf>
    <xf numFmtId="0" fontId="0" fillId="0" borderId="0" xfId="0" applyBorder="1" applyAlignment="1">
      <alignment/>
    </xf>
    <xf numFmtId="49" fontId="0" fillId="0" borderId="0" xfId="0" applyNumberFormat="1" applyAlignment="1">
      <alignment/>
    </xf>
    <xf numFmtId="49" fontId="0" fillId="0" borderId="0" xfId="0" applyNumberFormat="1" applyAlignment="1">
      <alignment horizontal="center"/>
    </xf>
    <xf numFmtId="0" fontId="0" fillId="0" borderId="10" xfId="0" applyBorder="1" applyAlignment="1">
      <alignment horizontal="center"/>
    </xf>
    <xf numFmtId="0" fontId="3" fillId="0" borderId="0" xfId="0" applyFont="1" applyAlignment="1">
      <alignment/>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0" fillId="0" borderId="13" xfId="0" applyBorder="1" applyAlignment="1">
      <alignment horizontal="center"/>
    </xf>
    <xf numFmtId="0" fontId="0" fillId="33" borderId="10" xfId="0" applyFill="1" applyBorder="1" applyAlignment="1">
      <alignment horizontal="center"/>
    </xf>
    <xf numFmtId="0" fontId="0" fillId="33" borderId="13" xfId="0"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6" fillId="0" borderId="16"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0" fillId="33" borderId="22" xfId="0" applyFill="1" applyBorder="1" applyAlignment="1">
      <alignment horizontal="center"/>
    </xf>
    <xf numFmtId="0" fontId="0" fillId="33" borderId="14" xfId="0"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0" fontId="0" fillId="33" borderId="17" xfId="0" applyFill="1" applyBorder="1" applyAlignment="1">
      <alignment horizontal="center"/>
    </xf>
    <xf numFmtId="0" fontId="0" fillId="33" borderId="23" xfId="0" applyFill="1" applyBorder="1" applyAlignment="1">
      <alignment horizontal="center"/>
    </xf>
    <xf numFmtId="0" fontId="0" fillId="33" borderId="18" xfId="0" applyFill="1" applyBorder="1" applyAlignment="1">
      <alignment horizontal="center"/>
    </xf>
    <xf numFmtId="0" fontId="0" fillId="33" borderId="19" xfId="0" applyFill="1" applyBorder="1" applyAlignment="1">
      <alignment horizontal="center"/>
    </xf>
    <xf numFmtId="0" fontId="0" fillId="33" borderId="20" xfId="0" applyFill="1" applyBorder="1" applyAlignment="1">
      <alignment horizontal="center"/>
    </xf>
    <xf numFmtId="0" fontId="0" fillId="33" borderId="21" xfId="0" applyFill="1" applyBorder="1" applyAlignment="1">
      <alignment horizontal="center"/>
    </xf>
    <xf numFmtId="0" fontId="0" fillId="34" borderId="10" xfId="0" applyFill="1" applyBorder="1" applyAlignment="1">
      <alignment horizontal="center"/>
    </xf>
    <xf numFmtId="0" fontId="0" fillId="34" borderId="13" xfId="0" applyFill="1" applyBorder="1" applyAlignment="1">
      <alignment horizontal="center"/>
    </xf>
    <xf numFmtId="0" fontId="0" fillId="34" borderId="22" xfId="0" applyFill="1" applyBorder="1" applyAlignment="1">
      <alignment horizontal="center"/>
    </xf>
    <xf numFmtId="0" fontId="0" fillId="34" borderId="14" xfId="0" applyFill="1" applyBorder="1" applyAlignment="1">
      <alignment horizontal="center"/>
    </xf>
    <xf numFmtId="0" fontId="0" fillId="34" borderId="15" xfId="0" applyFill="1" applyBorder="1" applyAlignment="1">
      <alignment horizontal="center"/>
    </xf>
    <xf numFmtId="0" fontId="0" fillId="34" borderId="16" xfId="0" applyFill="1" applyBorder="1" applyAlignment="1">
      <alignment horizontal="center"/>
    </xf>
    <xf numFmtId="0" fontId="0" fillId="34" borderId="17" xfId="0" applyFill="1" applyBorder="1" applyAlignment="1">
      <alignment horizontal="center"/>
    </xf>
    <xf numFmtId="0" fontId="0" fillId="34" borderId="23" xfId="0" applyFill="1" applyBorder="1" applyAlignment="1">
      <alignment horizontal="center"/>
    </xf>
    <xf numFmtId="0" fontId="0" fillId="34" borderId="18" xfId="0" applyFill="1" applyBorder="1" applyAlignment="1">
      <alignment horizontal="center"/>
    </xf>
    <xf numFmtId="0" fontId="0" fillId="34" borderId="19" xfId="0" applyFill="1" applyBorder="1" applyAlignment="1">
      <alignment horizontal="center"/>
    </xf>
    <xf numFmtId="0" fontId="0" fillId="34" borderId="20" xfId="0" applyFill="1" applyBorder="1" applyAlignment="1">
      <alignment horizontal="center"/>
    </xf>
    <xf numFmtId="0" fontId="0" fillId="34" borderId="21" xfId="0" applyFill="1" applyBorder="1" applyAlignment="1">
      <alignment horizontal="center"/>
    </xf>
    <xf numFmtId="0" fontId="6" fillId="0" borderId="24" xfId="0" applyFont="1" applyBorder="1" applyAlignment="1">
      <alignment horizontal="center"/>
    </xf>
    <xf numFmtId="0" fontId="6" fillId="0" borderId="10"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0" xfId="0" applyFont="1" applyAlignment="1">
      <alignment/>
    </xf>
    <xf numFmtId="0" fontId="1" fillId="0" borderId="0" xfId="0" applyFont="1" applyAlignment="1">
      <alignment horizontal="center"/>
    </xf>
    <xf numFmtId="0" fontId="6" fillId="33" borderId="16" xfId="0" applyFont="1" applyFill="1" applyBorder="1" applyAlignment="1">
      <alignment horizontal="center"/>
    </xf>
    <xf numFmtId="0" fontId="6" fillId="33" borderId="10" xfId="0" applyFont="1" applyFill="1" applyBorder="1" applyAlignment="1">
      <alignment horizontal="center"/>
    </xf>
    <xf numFmtId="0" fontId="6" fillId="34" borderId="26" xfId="0" applyFont="1" applyFill="1" applyBorder="1" applyAlignment="1">
      <alignment horizontal="center"/>
    </xf>
    <xf numFmtId="0" fontId="6" fillId="34" borderId="27" xfId="0" applyFont="1" applyFill="1" applyBorder="1" applyAlignment="1">
      <alignment horizontal="center"/>
    </xf>
    <xf numFmtId="0" fontId="6" fillId="34" borderId="17" xfId="0" applyFont="1" applyFill="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0" fontId="0" fillId="35" borderId="31" xfId="0" applyFill="1" applyBorder="1" applyAlignment="1">
      <alignment horizontal="center"/>
    </xf>
    <xf numFmtId="0" fontId="0" fillId="35" borderId="27" xfId="0" applyFill="1" applyBorder="1" applyAlignment="1">
      <alignment horizontal="center"/>
    </xf>
    <xf numFmtId="0" fontId="0" fillId="35" borderId="32" xfId="0" applyFill="1" applyBorder="1" applyAlignment="1">
      <alignment horizontal="center"/>
    </xf>
    <xf numFmtId="0" fontId="0" fillId="35" borderId="33" xfId="0" applyFill="1" applyBorder="1" applyAlignment="1">
      <alignment horizontal="center"/>
    </xf>
    <xf numFmtId="0" fontId="0" fillId="35" borderId="10" xfId="0" applyFill="1" applyBorder="1" applyAlignment="1">
      <alignment horizontal="center"/>
    </xf>
    <xf numFmtId="0" fontId="0" fillId="35" borderId="34" xfId="0" applyFill="1" applyBorder="1" applyAlignment="1">
      <alignment horizontal="center"/>
    </xf>
    <xf numFmtId="0" fontId="0" fillId="35" borderId="35" xfId="0" applyFill="1" applyBorder="1" applyAlignment="1">
      <alignment horizontal="center"/>
    </xf>
    <xf numFmtId="0" fontId="0" fillId="35" borderId="13" xfId="0" applyFill="1" applyBorder="1" applyAlignment="1">
      <alignment horizontal="center"/>
    </xf>
    <xf numFmtId="0" fontId="0" fillId="35" borderId="36" xfId="0" applyFill="1" applyBorder="1" applyAlignment="1">
      <alignment horizontal="center"/>
    </xf>
    <xf numFmtId="0" fontId="0" fillId="34" borderId="27" xfId="0" applyFill="1" applyBorder="1" applyAlignment="1">
      <alignment horizontal="center"/>
    </xf>
    <xf numFmtId="0" fontId="0" fillId="34" borderId="32" xfId="0" applyFill="1" applyBorder="1" applyAlignment="1">
      <alignment horizontal="center"/>
    </xf>
    <xf numFmtId="0" fontId="0" fillId="34" borderId="34" xfId="0" applyFill="1" applyBorder="1" applyAlignment="1">
      <alignment horizontal="center"/>
    </xf>
    <xf numFmtId="0" fontId="0" fillId="34" borderId="36" xfId="0" applyFill="1" applyBorder="1" applyAlignment="1">
      <alignment horizontal="center"/>
    </xf>
    <xf numFmtId="0" fontId="0" fillId="0" borderId="0" xfId="0" applyAlignment="1">
      <alignment horizontal="center"/>
    </xf>
    <xf numFmtId="0" fontId="0" fillId="35" borderId="37" xfId="0" applyFill="1" applyBorder="1" applyAlignment="1">
      <alignment horizontal="center"/>
    </xf>
    <xf numFmtId="0" fontId="0" fillId="35" borderId="38" xfId="0" applyFill="1" applyBorder="1" applyAlignment="1">
      <alignment horizontal="center"/>
    </xf>
    <xf numFmtId="0" fontId="1" fillId="0" borderId="39" xfId="0" applyFont="1" applyBorder="1" applyAlignment="1">
      <alignment horizontal="center"/>
    </xf>
    <xf numFmtId="0" fontId="0" fillId="0" borderId="24" xfId="0" applyBorder="1" applyAlignment="1">
      <alignment horizontal="center"/>
    </xf>
    <xf numFmtId="2" fontId="0" fillId="33" borderId="27" xfId="0" applyNumberFormat="1" applyFill="1" applyBorder="1" applyAlignment="1">
      <alignment horizontal="center"/>
    </xf>
    <xf numFmtId="2" fontId="0" fillId="33" borderId="32" xfId="0" applyNumberFormat="1" applyFill="1" applyBorder="1" applyAlignment="1">
      <alignment horizontal="center"/>
    </xf>
    <xf numFmtId="2" fontId="0" fillId="33" borderId="10" xfId="0" applyNumberFormat="1" applyFill="1" applyBorder="1" applyAlignment="1">
      <alignment horizontal="center"/>
    </xf>
    <xf numFmtId="2" fontId="0" fillId="33" borderId="34" xfId="0" applyNumberFormat="1" applyFill="1" applyBorder="1" applyAlignment="1">
      <alignment horizontal="center"/>
    </xf>
    <xf numFmtId="2" fontId="0" fillId="33" borderId="13" xfId="0" applyNumberFormat="1" applyFill="1" applyBorder="1" applyAlignment="1">
      <alignment horizontal="center"/>
    </xf>
    <xf numFmtId="2" fontId="0" fillId="33" borderId="36" xfId="0" applyNumberFormat="1" applyFill="1" applyBorder="1" applyAlignment="1">
      <alignment horizontal="center"/>
    </xf>
    <xf numFmtId="0" fontId="0" fillId="0" borderId="33" xfId="0"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0" fontId="0" fillId="0" borderId="36" xfId="0" applyBorder="1" applyAlignment="1">
      <alignment horizontal="center"/>
    </xf>
    <xf numFmtId="0" fontId="0" fillId="0" borderId="40" xfId="0" applyBorder="1" applyAlignment="1">
      <alignment/>
    </xf>
    <xf numFmtId="0" fontId="0" fillId="0" borderId="41" xfId="0" applyBorder="1" applyAlignment="1">
      <alignment/>
    </xf>
    <xf numFmtId="0" fontId="0" fillId="0" borderId="37" xfId="0" applyBorder="1" applyAlignment="1">
      <alignment horizontal="center"/>
    </xf>
    <xf numFmtId="0" fontId="0" fillId="0" borderId="38" xfId="0" applyBorder="1" applyAlignment="1">
      <alignment horizontal="center"/>
    </xf>
    <xf numFmtId="0" fontId="0" fillId="0" borderId="42" xfId="0" applyBorder="1" applyAlignment="1">
      <alignment horizontal="center"/>
    </xf>
    <xf numFmtId="0" fontId="0" fillId="0" borderId="31" xfId="0" applyBorder="1" applyAlignment="1">
      <alignment horizontal="center"/>
    </xf>
    <xf numFmtId="0" fontId="0" fillId="0" borderId="27" xfId="0" applyBorder="1" applyAlignment="1">
      <alignment horizontal="center"/>
    </xf>
    <xf numFmtId="0" fontId="0" fillId="0" borderId="32" xfId="0" applyBorder="1" applyAlignment="1">
      <alignment horizontal="center"/>
    </xf>
    <xf numFmtId="0" fontId="0" fillId="0" borderId="12" xfId="0" applyBorder="1" applyAlignment="1">
      <alignment horizontal="center"/>
    </xf>
    <xf numFmtId="0" fontId="0" fillId="0" borderId="43" xfId="0" applyBorder="1" applyAlignment="1">
      <alignment horizontal="center"/>
    </xf>
    <xf numFmtId="0" fontId="0" fillId="36" borderId="27" xfId="0" applyFill="1" applyBorder="1" applyAlignment="1">
      <alignment horizontal="center"/>
    </xf>
    <xf numFmtId="0" fontId="0" fillId="36" borderId="32" xfId="0" applyFill="1" applyBorder="1" applyAlignment="1">
      <alignment horizontal="center"/>
    </xf>
    <xf numFmtId="0" fontId="0" fillId="36" borderId="10" xfId="0" applyFill="1" applyBorder="1" applyAlignment="1">
      <alignment horizontal="center"/>
    </xf>
    <xf numFmtId="0" fontId="0" fillId="36" borderId="34" xfId="0" applyFill="1" applyBorder="1" applyAlignment="1">
      <alignment horizontal="center"/>
    </xf>
    <xf numFmtId="0" fontId="0" fillId="36" borderId="13" xfId="0" applyFill="1" applyBorder="1" applyAlignment="1">
      <alignment horizontal="center"/>
    </xf>
    <xf numFmtId="0" fontId="0" fillId="36" borderId="36" xfId="0" applyFill="1" applyBorder="1" applyAlignment="1">
      <alignment horizontal="center"/>
    </xf>
    <xf numFmtId="0" fontId="0" fillId="0" borderId="24" xfId="0" applyBorder="1" applyAlignment="1">
      <alignment/>
    </xf>
    <xf numFmtId="0" fontId="13" fillId="0" borderId="24" xfId="0" applyFont="1" applyBorder="1" applyAlignment="1">
      <alignment/>
    </xf>
    <xf numFmtId="0" fontId="1" fillId="0" borderId="0" xfId="0" applyFont="1" applyAlignment="1">
      <alignment horizontal="right"/>
    </xf>
    <xf numFmtId="0" fontId="0" fillId="0" borderId="31" xfId="0" applyFill="1" applyBorder="1" applyAlignment="1">
      <alignment horizontal="center"/>
    </xf>
    <xf numFmtId="0" fontId="0" fillId="0" borderId="27" xfId="0" applyFill="1" applyBorder="1" applyAlignment="1">
      <alignment horizontal="center"/>
    </xf>
    <xf numFmtId="0" fontId="0" fillId="0" borderId="32" xfId="0" applyFill="1" applyBorder="1" applyAlignment="1">
      <alignment horizontal="center"/>
    </xf>
    <xf numFmtId="0" fontId="0" fillId="0" borderId="33" xfId="0" applyFill="1" applyBorder="1" applyAlignment="1">
      <alignment horizontal="center"/>
    </xf>
    <xf numFmtId="0" fontId="0" fillId="0" borderId="10" xfId="0" applyFill="1" applyBorder="1" applyAlignment="1">
      <alignment horizontal="center"/>
    </xf>
    <xf numFmtId="0" fontId="0" fillId="0" borderId="34" xfId="0" applyFill="1" applyBorder="1" applyAlignment="1">
      <alignment horizontal="center"/>
    </xf>
    <xf numFmtId="0" fontId="0" fillId="0" borderId="35" xfId="0" applyFill="1" applyBorder="1" applyAlignment="1">
      <alignment horizontal="center"/>
    </xf>
    <xf numFmtId="0" fontId="0" fillId="0" borderId="13" xfId="0" applyFill="1" applyBorder="1" applyAlignment="1">
      <alignment horizontal="center"/>
    </xf>
    <xf numFmtId="0" fontId="0" fillId="0" borderId="36" xfId="0" applyFill="1" applyBorder="1" applyAlignment="1">
      <alignment horizontal="center"/>
    </xf>
    <xf numFmtId="0" fontId="0" fillId="0" borderId="44" xfId="0" applyFill="1" applyBorder="1" applyAlignment="1">
      <alignment horizontal="center"/>
    </xf>
    <xf numFmtId="0" fontId="0" fillId="0" borderId="37" xfId="0" applyFill="1" applyBorder="1" applyAlignment="1">
      <alignment horizontal="center"/>
    </xf>
    <xf numFmtId="0" fontId="1" fillId="0" borderId="45" xfId="0" applyFont="1" applyFill="1" applyBorder="1" applyAlignment="1">
      <alignment horizontal="center"/>
    </xf>
    <xf numFmtId="0" fontId="1" fillId="0" borderId="46" xfId="0" applyFont="1" applyBorder="1" applyAlignment="1">
      <alignment horizontal="center"/>
    </xf>
    <xf numFmtId="0" fontId="1" fillId="0" borderId="47" xfId="0" applyFont="1" applyBorder="1" applyAlignment="1">
      <alignment horizontal="center"/>
    </xf>
    <xf numFmtId="0" fontId="14" fillId="0" borderId="39" xfId="0" applyFont="1" applyBorder="1" applyAlignment="1">
      <alignment horizontal="center"/>
    </xf>
    <xf numFmtId="0" fontId="2" fillId="0" borderId="0" xfId="0" applyFont="1" applyAlignment="1">
      <alignment vertical="center" wrapText="1"/>
    </xf>
    <xf numFmtId="0" fontId="1" fillId="0" borderId="28" xfId="0" applyFont="1" applyBorder="1" applyAlignment="1">
      <alignment horizontal="center"/>
    </xf>
    <xf numFmtId="0" fontId="1" fillId="0" borderId="29" xfId="0" applyFont="1" applyBorder="1" applyAlignment="1">
      <alignment horizontal="center"/>
    </xf>
    <xf numFmtId="0" fontId="1" fillId="0" borderId="30" xfId="0" applyFont="1" applyBorder="1" applyAlignment="1">
      <alignment horizontal="center"/>
    </xf>
    <xf numFmtId="0" fontId="0" fillId="0" borderId="48" xfId="0" applyBorder="1" applyAlignment="1">
      <alignment/>
    </xf>
    <xf numFmtId="0" fontId="0" fillId="0" borderId="49" xfId="0" applyBorder="1" applyAlignment="1">
      <alignment/>
    </xf>
    <xf numFmtId="0" fontId="0" fillId="0" borderId="50" xfId="0" applyBorder="1" applyAlignment="1">
      <alignment/>
    </xf>
    <xf numFmtId="0" fontId="19" fillId="37" borderId="51" xfId="0" applyFont="1" applyFill="1" applyBorder="1" applyAlignment="1">
      <alignment horizontal="center" wrapText="1"/>
    </xf>
    <xf numFmtId="0" fontId="19" fillId="38" borderId="51" xfId="0" applyFont="1" applyFill="1" applyBorder="1" applyAlignment="1">
      <alignment horizontal="center" wrapText="1"/>
    </xf>
    <xf numFmtId="0" fontId="20" fillId="39" borderId="51" xfId="0" applyFont="1" applyFill="1" applyBorder="1" applyAlignment="1">
      <alignment horizontal="center" wrapText="1"/>
    </xf>
    <xf numFmtId="0" fontId="22" fillId="37" borderId="51" xfId="0" applyFont="1" applyFill="1" applyBorder="1" applyAlignment="1">
      <alignment horizontal="center" wrapText="1"/>
    </xf>
    <xf numFmtId="0" fontId="19" fillId="38" borderId="52" xfId="0" applyFont="1" applyFill="1" applyBorder="1" applyAlignment="1">
      <alignment horizontal="center" wrapText="1"/>
    </xf>
    <xf numFmtId="0" fontId="0" fillId="33" borderId="24" xfId="0" applyFill="1" applyBorder="1" applyAlignment="1" applyProtection="1">
      <alignment horizontal="center"/>
      <protection locked="0"/>
    </xf>
    <xf numFmtId="0" fontId="0" fillId="0" borderId="53" xfId="0" applyBorder="1" applyAlignment="1">
      <alignment wrapText="1"/>
    </xf>
    <xf numFmtId="0" fontId="0" fillId="38" borderId="53" xfId="0" applyFill="1" applyBorder="1" applyAlignment="1">
      <alignment horizontal="center" wrapText="1"/>
    </xf>
    <xf numFmtId="0" fontId="1" fillId="0" borderId="53" xfId="0" applyFont="1" applyFill="1" applyBorder="1" applyAlignment="1">
      <alignment horizontal="center" wrapText="1"/>
    </xf>
    <xf numFmtId="0" fontId="0" fillId="33" borderId="53" xfId="0" applyFill="1" applyBorder="1" applyAlignment="1">
      <alignment horizontal="center" wrapText="1"/>
    </xf>
    <xf numFmtId="0" fontId="0" fillId="34" borderId="24" xfId="0" applyFill="1" applyBorder="1" applyAlignment="1">
      <alignment horizontal="center"/>
    </xf>
    <xf numFmtId="0" fontId="1" fillId="34" borderId="24" xfId="0" applyFont="1" applyFill="1" applyBorder="1" applyAlignment="1">
      <alignment horizontal="center"/>
    </xf>
    <xf numFmtId="2" fontId="0" fillId="34" borderId="24" xfId="0" applyNumberFormat="1" applyFill="1" applyBorder="1" applyAlignment="1">
      <alignment horizontal="center"/>
    </xf>
    <xf numFmtId="172" fontId="0" fillId="34" borderId="24" xfId="0" applyNumberFormat="1" applyFill="1" applyBorder="1" applyAlignment="1">
      <alignment horizontal="center"/>
    </xf>
    <xf numFmtId="0" fontId="0" fillId="36" borderId="0" xfId="0" applyFill="1" applyAlignment="1">
      <alignment/>
    </xf>
    <xf numFmtId="0" fontId="0" fillId="36" borderId="0" xfId="0" applyFill="1" applyBorder="1" applyAlignment="1">
      <alignment/>
    </xf>
    <xf numFmtId="0" fontId="0" fillId="0" borderId="24" xfId="0" applyFill="1" applyBorder="1" applyAlignment="1">
      <alignment/>
    </xf>
    <xf numFmtId="0" fontId="0" fillId="0" borderId="0" xfId="0" applyFill="1" applyAlignment="1">
      <alignment/>
    </xf>
    <xf numFmtId="0" fontId="1" fillId="33" borderId="0" xfId="0" applyFont="1" applyFill="1" applyAlignment="1" applyProtection="1">
      <alignment horizontal="center"/>
      <protection locked="0"/>
    </xf>
    <xf numFmtId="0" fontId="3" fillId="0" borderId="54" xfId="0" applyFont="1" applyFill="1" applyBorder="1" applyAlignment="1">
      <alignment horizontal="center" wrapText="1"/>
    </xf>
    <xf numFmtId="0" fontId="3" fillId="0" borderId="55" xfId="0" applyFont="1" applyFill="1" applyBorder="1" applyAlignment="1">
      <alignment horizontal="center" wrapText="1"/>
    </xf>
    <xf numFmtId="0" fontId="3" fillId="0" borderId="56" xfId="0" applyFont="1" applyFill="1" applyBorder="1" applyAlignment="1">
      <alignment horizontal="center" wrapText="1"/>
    </xf>
    <xf numFmtId="0" fontId="20" fillId="39" borderId="57" xfId="0" applyFont="1" applyFill="1" applyBorder="1" applyAlignment="1">
      <alignment horizontal="center" wrapText="1"/>
    </xf>
    <xf numFmtId="0" fontId="20" fillId="39" borderId="58" xfId="0" applyFont="1" applyFill="1" applyBorder="1" applyAlignment="1">
      <alignment horizontal="center" wrapText="1"/>
    </xf>
    <xf numFmtId="0" fontId="20" fillId="39" borderId="59" xfId="0" applyFont="1" applyFill="1" applyBorder="1" applyAlignment="1">
      <alignment horizontal="center" wrapText="1"/>
    </xf>
    <xf numFmtId="0" fontId="0" fillId="0" borderId="0" xfId="0"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12" fillId="0" borderId="25" xfId="0" applyFont="1" applyBorder="1" applyAlignment="1" applyProtection="1">
      <alignment/>
      <protection/>
    </xf>
    <xf numFmtId="0" fontId="12" fillId="0" borderId="24" xfId="0" applyFont="1" applyBorder="1" applyAlignment="1" applyProtection="1">
      <alignment horizontal="center"/>
      <protection/>
    </xf>
    <xf numFmtId="0" fontId="0" fillId="0" borderId="42" xfId="0" applyBorder="1" applyAlignment="1" applyProtection="1">
      <alignment/>
      <protection/>
    </xf>
    <xf numFmtId="0" fontId="0" fillId="0" borderId="63" xfId="0" applyBorder="1" applyAlignment="1" applyProtection="1">
      <alignment/>
      <protection/>
    </xf>
    <xf numFmtId="0" fontId="0" fillId="0" borderId="0" xfId="0" applyAlignment="1" applyProtection="1">
      <alignment/>
      <protection/>
    </xf>
    <xf numFmtId="0" fontId="1" fillId="0" borderId="24" xfId="0" applyFont="1" applyBorder="1" applyAlignment="1" applyProtection="1">
      <alignment/>
      <protection/>
    </xf>
    <xf numFmtId="0" fontId="1" fillId="0" borderId="39" xfId="0" applyFont="1" applyBorder="1" applyAlignment="1" applyProtection="1">
      <alignment horizontal="center"/>
      <protection/>
    </xf>
    <xf numFmtId="0" fontId="0" fillId="0" borderId="24" xfId="0" applyBorder="1" applyAlignment="1" applyProtection="1">
      <alignment/>
      <protection/>
    </xf>
    <xf numFmtId="0" fontId="0" fillId="0" borderId="24" xfId="0" applyBorder="1" applyAlignment="1" applyProtection="1">
      <alignment horizontal="center"/>
      <protection/>
    </xf>
    <xf numFmtId="0" fontId="23" fillId="0" borderId="60" xfId="0" applyFont="1" applyFill="1" applyBorder="1" applyAlignment="1" applyProtection="1">
      <alignment horizontal="center" vertical="center" wrapText="1"/>
      <protection/>
    </xf>
    <xf numFmtId="0" fontId="1" fillId="0" borderId="24" xfId="0" applyFont="1" applyBorder="1" applyAlignment="1" applyProtection="1">
      <alignment horizontal="center"/>
      <protection/>
    </xf>
    <xf numFmtId="0" fontId="1" fillId="0" borderId="61" xfId="0" applyFont="1" applyBorder="1" applyAlignment="1" applyProtection="1">
      <alignment horizontal="center"/>
      <protection/>
    </xf>
    <xf numFmtId="0" fontId="0" fillId="34" borderId="24" xfId="0" applyFill="1" applyBorder="1" applyAlignment="1" applyProtection="1">
      <alignment/>
      <protection locked="0"/>
    </xf>
    <xf numFmtId="0" fontId="0" fillId="34" borderId="60" xfId="0" applyFill="1" applyBorder="1" applyAlignment="1" applyProtection="1">
      <alignment/>
      <protection locked="0"/>
    </xf>
    <xf numFmtId="0" fontId="0" fillId="40" borderId="24" xfId="0" applyFill="1" applyBorder="1" applyAlignment="1" applyProtection="1">
      <alignment/>
      <protection locked="0"/>
    </xf>
    <xf numFmtId="0" fontId="0" fillId="40" borderId="0" xfId="0" applyFill="1" applyAlignment="1" applyProtection="1">
      <alignment/>
      <protection locked="0"/>
    </xf>
    <xf numFmtId="0" fontId="0" fillId="34" borderId="0" xfId="0" applyFill="1" applyAlignment="1" applyProtection="1">
      <alignment/>
      <protection locked="0"/>
    </xf>
    <xf numFmtId="0" fontId="0" fillId="0" borderId="64" xfId="0" applyBorder="1" applyAlignment="1">
      <alignment horizontal="center"/>
    </xf>
    <xf numFmtId="0" fontId="0" fillId="0" borderId="26" xfId="0"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0" fontId="0" fillId="0" borderId="68" xfId="0" applyBorder="1" applyAlignment="1">
      <alignment horizontal="center"/>
    </xf>
    <xf numFmtId="49" fontId="1" fillId="0" borderId="69" xfId="0" applyNumberFormat="1" applyFont="1" applyBorder="1" applyAlignment="1">
      <alignment horizontal="center"/>
    </xf>
    <xf numFmtId="49" fontId="1" fillId="0" borderId="24" xfId="0" applyNumberFormat="1" applyFont="1" applyBorder="1" applyAlignment="1">
      <alignment horizontal="center"/>
    </xf>
    <xf numFmtId="49" fontId="1" fillId="0" borderId="0" xfId="0" applyNumberFormat="1" applyFont="1" applyBorder="1" applyAlignment="1">
      <alignment horizontal="center"/>
    </xf>
    <xf numFmtId="0" fontId="0" fillId="35" borderId="0" xfId="0" applyFill="1" applyBorder="1" applyAlignment="1">
      <alignment horizontal="center"/>
    </xf>
    <xf numFmtId="0" fontId="0" fillId="34" borderId="0" xfId="0" applyFill="1" applyBorder="1" applyAlignment="1">
      <alignment horizontal="center"/>
    </xf>
    <xf numFmtId="2" fontId="0" fillId="33" borderId="0" xfId="0" applyNumberFormat="1" applyFill="1" applyBorder="1" applyAlignment="1">
      <alignment horizontal="center"/>
    </xf>
    <xf numFmtId="0" fontId="0" fillId="36" borderId="0" xfId="0" applyFill="1" applyBorder="1" applyAlignment="1">
      <alignment horizontal="center"/>
    </xf>
    <xf numFmtId="0" fontId="0" fillId="0" borderId="0" xfId="0" applyFill="1" applyBorder="1" applyAlignment="1">
      <alignment horizontal="center"/>
    </xf>
    <xf numFmtId="0" fontId="6" fillId="34" borderId="16" xfId="0" applyFont="1" applyFill="1" applyBorder="1" applyAlignment="1">
      <alignment horizontal="center"/>
    </xf>
    <xf numFmtId="2" fontId="0" fillId="33" borderId="70" xfId="0" applyNumberFormat="1" applyFill="1" applyBorder="1" applyAlignment="1">
      <alignment horizontal="center"/>
    </xf>
    <xf numFmtId="2" fontId="0" fillId="33" borderId="67" xfId="0" applyNumberFormat="1" applyFill="1" applyBorder="1" applyAlignment="1">
      <alignment horizontal="center"/>
    </xf>
    <xf numFmtId="2" fontId="0" fillId="33" borderId="68" xfId="0" applyNumberFormat="1" applyFill="1" applyBorder="1" applyAlignment="1">
      <alignment horizontal="center"/>
    </xf>
    <xf numFmtId="0" fontId="0" fillId="35" borderId="70" xfId="0" applyFill="1" applyBorder="1" applyAlignment="1">
      <alignment horizontal="center"/>
    </xf>
    <xf numFmtId="0" fontId="0" fillId="35" borderId="71" xfId="0" applyFill="1" applyBorder="1" applyAlignment="1">
      <alignment horizontal="center"/>
    </xf>
    <xf numFmtId="0" fontId="0" fillId="35" borderId="67" xfId="0" applyFill="1" applyBorder="1" applyAlignment="1">
      <alignment horizontal="center"/>
    </xf>
    <xf numFmtId="0" fontId="0" fillId="35" borderId="68" xfId="0" applyFill="1" applyBorder="1" applyAlignment="1">
      <alignment horizontal="center"/>
    </xf>
    <xf numFmtId="0" fontId="0" fillId="0" borderId="10" xfId="0" applyBorder="1" applyAlignment="1">
      <alignment/>
    </xf>
    <xf numFmtId="0" fontId="1" fillId="0" borderId="0" xfId="0" applyFont="1" applyAlignment="1">
      <alignment horizontal="left"/>
    </xf>
    <xf numFmtId="0" fontId="0" fillId="0" borderId="72" xfId="0" applyFill="1" applyBorder="1" applyAlignment="1">
      <alignment/>
    </xf>
    <xf numFmtId="172" fontId="1" fillId="0" borderId="24" xfId="0" applyNumberFormat="1" applyFont="1" applyBorder="1" applyAlignment="1">
      <alignment/>
    </xf>
    <xf numFmtId="0" fontId="0" fillId="34" borderId="0" xfId="0" applyFont="1" applyFill="1" applyAlignment="1" applyProtection="1">
      <alignment/>
      <protection locked="0"/>
    </xf>
    <xf numFmtId="0" fontId="25" fillId="0" borderId="0" xfId="0" applyFont="1" applyAlignment="1">
      <alignment/>
    </xf>
    <xf numFmtId="0" fontId="2" fillId="0" borderId="0" xfId="0" applyFont="1" applyAlignment="1">
      <alignment/>
    </xf>
    <xf numFmtId="0" fontId="0" fillId="36" borderId="73" xfId="0" applyFill="1" applyBorder="1" applyAlignment="1">
      <alignment/>
    </xf>
    <xf numFmtId="0" fontId="0" fillId="0" borderId="74" xfId="0" applyBorder="1" applyAlignment="1">
      <alignment/>
    </xf>
    <xf numFmtId="0" fontId="0" fillId="0" borderId="75" xfId="0" applyBorder="1" applyAlignment="1">
      <alignment/>
    </xf>
    <xf numFmtId="0" fontId="0" fillId="0" borderId="76" xfId="0" applyBorder="1" applyAlignment="1">
      <alignment/>
    </xf>
    <xf numFmtId="0" fontId="1" fillId="0" borderId="76" xfId="0" applyFont="1" applyBorder="1" applyAlignment="1">
      <alignment horizontal="center"/>
    </xf>
    <xf numFmtId="0" fontId="0" fillId="0" borderId="76" xfId="0" applyBorder="1" applyAlignment="1">
      <alignment horizontal="center"/>
    </xf>
    <xf numFmtId="173" fontId="1" fillId="0" borderId="76" xfId="0" applyNumberFormat="1" applyFont="1" applyBorder="1" applyAlignment="1">
      <alignment horizontal="center"/>
    </xf>
    <xf numFmtId="0" fontId="0" fillId="36" borderId="77" xfId="0" applyFill="1" applyBorder="1" applyAlignment="1">
      <alignment/>
    </xf>
    <xf numFmtId="0" fontId="0" fillId="0" borderId="78" xfId="0" applyBorder="1" applyAlignment="1">
      <alignment/>
    </xf>
    <xf numFmtId="0" fontId="0" fillId="0" borderId="79" xfId="0" applyBorder="1" applyAlignment="1">
      <alignment/>
    </xf>
    <xf numFmtId="0" fontId="0" fillId="0" borderId="80" xfId="0" applyBorder="1" applyAlignment="1">
      <alignment/>
    </xf>
    <xf numFmtId="0" fontId="1" fillId="0" borderId="80" xfId="0" applyFont="1" applyBorder="1" applyAlignment="1">
      <alignment horizontal="center"/>
    </xf>
    <xf numFmtId="0" fontId="0" fillId="0" borderId="80" xfId="0" applyBorder="1" applyAlignment="1">
      <alignment horizontal="center"/>
    </xf>
    <xf numFmtId="173" fontId="1" fillId="0" borderId="80" xfId="0" applyNumberFormat="1" applyFont="1" applyBorder="1" applyAlignment="1">
      <alignment horizontal="center"/>
    </xf>
    <xf numFmtId="0" fontId="1" fillId="0" borderId="78" xfId="0" applyFont="1" applyBorder="1" applyAlignment="1">
      <alignment horizontal="center"/>
    </xf>
    <xf numFmtId="0" fontId="1" fillId="0" borderId="79" xfId="0" applyFont="1" applyBorder="1" applyAlignment="1">
      <alignment horizontal="center"/>
    </xf>
    <xf numFmtId="2" fontId="0" fillId="0" borderId="80" xfId="0" applyNumberFormat="1" applyBorder="1" applyAlignment="1">
      <alignment horizontal="center"/>
    </xf>
    <xf numFmtId="173" fontId="0" fillId="0" borderId="80" xfId="0" applyNumberFormat="1" applyBorder="1" applyAlignment="1">
      <alignment horizontal="center"/>
    </xf>
    <xf numFmtId="1" fontId="27" fillId="0" borderId="81" xfId="0" applyNumberFormat="1" applyFont="1" applyBorder="1" applyAlignment="1">
      <alignment horizontal="center"/>
    </xf>
    <xf numFmtId="13" fontId="27" fillId="0" borderId="82" xfId="0" applyNumberFormat="1" applyFont="1" applyBorder="1" applyAlignment="1">
      <alignment/>
    </xf>
    <xf numFmtId="13" fontId="0" fillId="0" borderId="83" xfId="0" applyNumberFormat="1" applyBorder="1" applyAlignment="1">
      <alignment/>
    </xf>
    <xf numFmtId="0" fontId="0" fillId="0" borderId="83" xfId="0" applyBorder="1" applyAlignment="1">
      <alignment/>
    </xf>
    <xf numFmtId="2" fontId="27" fillId="0" borderId="83" xfId="0" applyNumberFormat="1" applyFont="1" applyBorder="1" applyAlignment="1">
      <alignment horizontal="center"/>
    </xf>
    <xf numFmtId="0" fontId="0" fillId="0" borderId="81" xfId="0" applyBorder="1" applyAlignment="1">
      <alignment/>
    </xf>
    <xf numFmtId="1" fontId="0" fillId="0" borderId="81" xfId="0" applyNumberFormat="1" applyBorder="1" applyAlignment="1">
      <alignment horizontal="center"/>
    </xf>
    <xf numFmtId="173" fontId="0" fillId="0" borderId="82" xfId="0" applyNumberFormat="1" applyBorder="1" applyAlignment="1">
      <alignment horizontal="center"/>
    </xf>
    <xf numFmtId="0" fontId="6" fillId="0" borderId="0" xfId="0" applyFont="1" applyAlignment="1">
      <alignment/>
    </xf>
    <xf numFmtId="0" fontId="0" fillId="36" borderId="84" xfId="0" applyFill="1" applyBorder="1" applyAlignment="1">
      <alignment/>
    </xf>
    <xf numFmtId="173" fontId="0" fillId="0" borderId="0" xfId="0" applyNumberFormat="1" applyAlignment="1">
      <alignment/>
    </xf>
    <xf numFmtId="0" fontId="0" fillId="0" borderId="85" xfId="0" applyBorder="1" applyAlignment="1" applyProtection="1">
      <alignment horizontal="center"/>
      <protection hidden="1" locked="0"/>
    </xf>
    <xf numFmtId="13" fontId="0" fillId="0" borderId="85" xfId="0" applyNumberFormat="1" applyBorder="1" applyAlignment="1" applyProtection="1">
      <alignment horizontal="center"/>
      <protection hidden="1" locked="0"/>
    </xf>
    <xf numFmtId="0" fontId="0" fillId="0" borderId="0" xfId="0" applyAlignment="1" applyProtection="1">
      <alignment/>
      <protection hidden="1" locked="0"/>
    </xf>
    <xf numFmtId="2" fontId="0" fillId="0" borderId="86" xfId="0" applyNumberFormat="1" applyBorder="1" applyAlignment="1">
      <alignment horizontal="center"/>
    </xf>
    <xf numFmtId="173" fontId="0" fillId="0" borderId="87" xfId="0" applyNumberFormat="1" applyBorder="1" applyAlignment="1">
      <alignment horizontal="center"/>
    </xf>
    <xf numFmtId="2" fontId="0" fillId="0" borderId="85" xfId="0" applyNumberFormat="1" applyBorder="1" applyAlignment="1" applyProtection="1">
      <alignment horizontal="center"/>
      <protection locked="0"/>
    </xf>
    <xf numFmtId="0" fontId="0" fillId="0" borderId="85" xfId="0" applyBorder="1" applyAlignment="1">
      <alignment horizontal="center"/>
    </xf>
    <xf numFmtId="173" fontId="0" fillId="0" borderId="86" xfId="0" applyNumberFormat="1" applyBorder="1" applyAlignment="1">
      <alignment horizontal="center"/>
    </xf>
    <xf numFmtId="0" fontId="0" fillId="0" borderId="88" xfId="0" applyBorder="1" applyAlignment="1" applyProtection="1">
      <alignment horizontal="center"/>
      <protection hidden="1" locked="0"/>
    </xf>
    <xf numFmtId="13" fontId="0" fillId="0" borderId="88" xfId="0" applyNumberFormat="1" applyBorder="1" applyAlignment="1" applyProtection="1">
      <alignment horizontal="center"/>
      <protection hidden="1" locked="0"/>
    </xf>
    <xf numFmtId="2" fontId="0" fillId="0" borderId="88" xfId="0" applyNumberFormat="1" applyBorder="1" applyAlignment="1">
      <alignment horizontal="center"/>
    </xf>
    <xf numFmtId="173" fontId="0" fillId="0" borderId="89" xfId="0" applyNumberFormat="1" applyBorder="1" applyAlignment="1">
      <alignment horizontal="center"/>
    </xf>
    <xf numFmtId="2" fontId="0" fillId="0" borderId="88" xfId="0" applyNumberFormat="1" applyBorder="1" applyAlignment="1" applyProtection="1">
      <alignment horizontal="center"/>
      <protection locked="0"/>
    </xf>
    <xf numFmtId="0" fontId="0" fillId="0" borderId="88" xfId="0" applyBorder="1" applyAlignment="1">
      <alignment horizontal="center"/>
    </xf>
    <xf numFmtId="173" fontId="0" fillId="0" borderId="88" xfId="0" applyNumberFormat="1" applyBorder="1" applyAlignment="1">
      <alignment horizontal="center"/>
    </xf>
    <xf numFmtId="0" fontId="0" fillId="37" borderId="0" xfId="0" applyFill="1" applyBorder="1" applyAlignment="1">
      <alignment/>
    </xf>
    <xf numFmtId="0" fontId="1" fillId="37" borderId="0" xfId="0" applyFont="1" applyFill="1" applyBorder="1" applyAlignment="1">
      <alignment/>
    </xf>
    <xf numFmtId="0" fontId="1" fillId="37" borderId="10" xfId="0" applyFont="1" applyFill="1" applyBorder="1" applyAlignment="1">
      <alignment/>
    </xf>
    <xf numFmtId="174" fontId="0" fillId="37" borderId="10" xfId="0" applyNumberFormat="1" applyFill="1" applyBorder="1" applyAlignment="1">
      <alignment/>
    </xf>
    <xf numFmtId="0" fontId="0" fillId="37" borderId="10" xfId="0" applyFill="1" applyBorder="1" applyAlignment="1">
      <alignment/>
    </xf>
    <xf numFmtId="0" fontId="1" fillId="36" borderId="10" xfId="0" applyFont="1" applyFill="1" applyBorder="1" applyAlignment="1">
      <alignment/>
    </xf>
    <xf numFmtId="174" fontId="0" fillId="36" borderId="10" xfId="0" applyNumberFormat="1" applyFill="1" applyBorder="1" applyAlignment="1">
      <alignment/>
    </xf>
    <xf numFmtId="0" fontId="0" fillId="36" borderId="10" xfId="0" applyFill="1" applyBorder="1" applyAlignment="1">
      <alignment/>
    </xf>
    <xf numFmtId="174" fontId="1" fillId="36" borderId="10" xfId="0" applyNumberFormat="1" applyFont="1" applyFill="1" applyBorder="1" applyAlignment="1">
      <alignment/>
    </xf>
    <xf numFmtId="174" fontId="28" fillId="36" borderId="10" xfId="0" applyNumberFormat="1" applyFont="1" applyFill="1" applyBorder="1" applyAlignment="1">
      <alignment/>
    </xf>
    <xf numFmtId="0" fontId="1" fillId="34" borderId="60" xfId="0" applyFont="1" applyFill="1" applyBorder="1" applyAlignment="1" applyProtection="1">
      <alignment horizontal="center"/>
      <protection/>
    </xf>
    <xf numFmtId="0" fontId="1" fillId="34" borderId="62" xfId="0" applyFont="1" applyFill="1" applyBorder="1" applyAlignment="1" applyProtection="1">
      <alignment horizontal="center"/>
      <protection/>
    </xf>
    <xf numFmtId="0" fontId="12" fillId="0" borderId="60" xfId="0" applyFont="1" applyBorder="1" applyAlignment="1">
      <alignment/>
    </xf>
    <xf numFmtId="0" fontId="12" fillId="0" borderId="61" xfId="0" applyFont="1" applyBorder="1" applyAlignment="1">
      <alignment/>
    </xf>
    <xf numFmtId="0" fontId="12" fillId="0" borderId="62" xfId="0" applyFont="1" applyBorder="1" applyAlignment="1">
      <alignment/>
    </xf>
    <xf numFmtId="0" fontId="0" fillId="0" borderId="60" xfId="0" applyBorder="1" applyAlignment="1">
      <alignment horizontal="right"/>
    </xf>
    <xf numFmtId="0" fontId="0" fillId="0" borderId="62" xfId="0" applyBorder="1" applyAlignment="1">
      <alignment horizontal="right"/>
    </xf>
    <xf numFmtId="0" fontId="0" fillId="0" borderId="60" xfId="0" applyBorder="1" applyAlignment="1" applyProtection="1">
      <alignment horizontal="center"/>
      <protection/>
    </xf>
    <xf numFmtId="0" fontId="0" fillId="0" borderId="62" xfId="0" applyBorder="1" applyAlignment="1" applyProtection="1">
      <alignment horizontal="center"/>
      <protection/>
    </xf>
    <xf numFmtId="0" fontId="0" fillId="0" borderId="39" xfId="0" applyBorder="1" applyAlignment="1">
      <alignment vertical="center" wrapText="1"/>
    </xf>
    <xf numFmtId="0" fontId="0" fillId="0" borderId="90" xfId="0" applyBorder="1" applyAlignment="1">
      <alignment vertical="center" wrapText="1"/>
    </xf>
    <xf numFmtId="0" fontId="0" fillId="0" borderId="25" xfId="0" applyBorder="1" applyAlignment="1">
      <alignment vertical="center" wrapText="1"/>
    </xf>
    <xf numFmtId="49" fontId="0" fillId="0" borderId="10" xfId="0" applyNumberFormat="1" applyBorder="1" applyAlignment="1">
      <alignment horizontal="center"/>
    </xf>
    <xf numFmtId="49" fontId="0" fillId="0" borderId="91" xfId="0" applyNumberFormat="1" applyBorder="1" applyAlignment="1">
      <alignment horizontal="center"/>
    </xf>
    <xf numFmtId="0" fontId="0" fillId="0" borderId="0" xfId="0" applyAlignment="1">
      <alignment/>
    </xf>
    <xf numFmtId="0" fontId="0" fillId="0" borderId="92" xfId="0" applyBorder="1" applyAlignment="1">
      <alignment/>
    </xf>
    <xf numFmtId="0" fontId="1" fillId="0" borderId="60" xfId="0" applyFont="1" applyBorder="1" applyAlignment="1" applyProtection="1">
      <alignment/>
      <protection/>
    </xf>
    <xf numFmtId="0" fontId="0" fillId="0" borderId="61" xfId="0" applyBorder="1" applyAlignment="1" applyProtection="1">
      <alignment/>
      <protection/>
    </xf>
    <xf numFmtId="0" fontId="0" fillId="0" borderId="62" xfId="0" applyBorder="1" applyAlignment="1" applyProtection="1">
      <alignment/>
      <protection/>
    </xf>
    <xf numFmtId="0" fontId="15" fillId="0" borderId="60" xfId="0" applyFont="1" applyBorder="1" applyAlignment="1" applyProtection="1">
      <alignment vertical="center" wrapText="1"/>
      <protection/>
    </xf>
    <xf numFmtId="0" fontId="15" fillId="0" borderId="61" xfId="0" applyFont="1" applyBorder="1" applyAlignment="1" applyProtection="1">
      <alignment vertical="center" wrapText="1"/>
      <protection/>
    </xf>
    <xf numFmtId="0" fontId="15" fillId="0" borderId="62" xfId="0" applyFont="1" applyBorder="1" applyAlignment="1" applyProtection="1">
      <alignment vertical="center" wrapText="1"/>
      <protection/>
    </xf>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wrapText="1"/>
    </xf>
    <xf numFmtId="0" fontId="0" fillId="0" borderId="0" xfId="0" applyAlignment="1">
      <alignment horizontal="center" vertical="center"/>
    </xf>
    <xf numFmtId="0" fontId="1" fillId="0" borderId="0" xfId="0" applyFont="1" applyAlignment="1">
      <alignment horizontal="center"/>
    </xf>
    <xf numFmtId="0" fontId="1" fillId="0" borderId="40" xfId="0" applyFont="1" applyBorder="1" applyAlignment="1">
      <alignment horizontal="center"/>
    </xf>
    <xf numFmtId="0" fontId="1" fillId="0" borderId="93" xfId="0" applyFont="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jpeg" /><Relationship Id="rId11" Type="http://schemas.openxmlformats.org/officeDocument/2006/relationships/image" Target="../media/image11.jpeg" /><Relationship Id="rId12" Type="http://schemas.openxmlformats.org/officeDocument/2006/relationships/image" Target="../media/image1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6</xdr:row>
      <xdr:rowOff>123825</xdr:rowOff>
    </xdr:from>
    <xdr:to>
      <xdr:col>3</xdr:col>
      <xdr:colOff>0</xdr:colOff>
      <xdr:row>25</xdr:row>
      <xdr:rowOff>66675</xdr:rowOff>
    </xdr:to>
    <xdr:pic>
      <xdr:nvPicPr>
        <xdr:cNvPr id="1" name="Picture 1" descr="valv"/>
        <xdr:cNvPicPr preferRelativeResize="1">
          <a:picLocks noChangeAspect="1"/>
        </xdr:cNvPicPr>
      </xdr:nvPicPr>
      <xdr:blipFill>
        <a:blip r:embed="rId1"/>
        <a:stretch>
          <a:fillRect/>
        </a:stretch>
      </xdr:blipFill>
      <xdr:spPr>
        <a:xfrm>
          <a:off x="47625" y="1295400"/>
          <a:ext cx="2238375" cy="3429000"/>
        </a:xfrm>
        <a:prstGeom prst="rect">
          <a:avLst/>
        </a:prstGeom>
        <a:noFill/>
        <a:ln w="9525" cmpd="sng">
          <a:noFill/>
        </a:ln>
      </xdr:spPr>
    </xdr:pic>
    <xdr:clientData/>
  </xdr:twoCellAnchor>
  <xdr:twoCellAnchor editAs="oneCell">
    <xdr:from>
      <xdr:col>5</xdr:col>
      <xdr:colOff>9525</xdr:colOff>
      <xdr:row>8</xdr:row>
      <xdr:rowOff>28575</xdr:rowOff>
    </xdr:from>
    <xdr:to>
      <xdr:col>6</xdr:col>
      <xdr:colOff>523875</xdr:colOff>
      <xdr:row>26</xdr:row>
      <xdr:rowOff>0</xdr:rowOff>
    </xdr:to>
    <xdr:pic>
      <xdr:nvPicPr>
        <xdr:cNvPr id="2" name="Picture 2" descr="ELBOWS"/>
        <xdr:cNvPicPr preferRelativeResize="1">
          <a:picLocks noChangeAspect="1"/>
        </xdr:cNvPicPr>
      </xdr:nvPicPr>
      <xdr:blipFill>
        <a:blip r:embed="rId2"/>
        <a:stretch>
          <a:fillRect/>
        </a:stretch>
      </xdr:blipFill>
      <xdr:spPr>
        <a:xfrm>
          <a:off x="3876675" y="1543050"/>
          <a:ext cx="1457325" cy="3352800"/>
        </a:xfrm>
        <a:prstGeom prst="rect">
          <a:avLst/>
        </a:prstGeom>
        <a:noFill/>
        <a:ln w="9525" cmpd="sng">
          <a:noFill/>
        </a:ln>
      </xdr:spPr>
    </xdr:pic>
    <xdr:clientData/>
  </xdr:twoCellAnchor>
  <xdr:twoCellAnchor editAs="oneCell">
    <xdr:from>
      <xdr:col>8</xdr:col>
      <xdr:colOff>0</xdr:colOff>
      <xdr:row>6</xdr:row>
      <xdr:rowOff>76200</xdr:rowOff>
    </xdr:from>
    <xdr:to>
      <xdr:col>9</xdr:col>
      <xdr:colOff>495300</xdr:colOff>
      <xdr:row>20</xdr:row>
      <xdr:rowOff>114300</xdr:rowOff>
    </xdr:to>
    <xdr:pic>
      <xdr:nvPicPr>
        <xdr:cNvPr id="3" name="Picture 6" descr="Fittings1"/>
        <xdr:cNvPicPr preferRelativeResize="1">
          <a:picLocks noChangeAspect="1"/>
        </xdr:cNvPicPr>
      </xdr:nvPicPr>
      <xdr:blipFill>
        <a:blip r:embed="rId3"/>
        <a:stretch>
          <a:fillRect/>
        </a:stretch>
      </xdr:blipFill>
      <xdr:spPr>
        <a:xfrm>
          <a:off x="6534150" y="1247775"/>
          <a:ext cx="1343025" cy="2676525"/>
        </a:xfrm>
        <a:prstGeom prst="rect">
          <a:avLst/>
        </a:prstGeom>
        <a:noFill/>
        <a:ln w="9525" cmpd="sng">
          <a:noFill/>
        </a:ln>
      </xdr:spPr>
    </xdr:pic>
    <xdr:clientData/>
  </xdr:twoCellAnchor>
  <xdr:twoCellAnchor editAs="oneCell">
    <xdr:from>
      <xdr:col>0</xdr:col>
      <xdr:colOff>419100</xdr:colOff>
      <xdr:row>26</xdr:row>
      <xdr:rowOff>66675</xdr:rowOff>
    </xdr:from>
    <xdr:to>
      <xdr:col>3</xdr:col>
      <xdr:colOff>9525</xdr:colOff>
      <xdr:row>47</xdr:row>
      <xdr:rowOff>66675</xdr:rowOff>
    </xdr:to>
    <xdr:pic>
      <xdr:nvPicPr>
        <xdr:cNvPr id="4" name="Picture 8" descr="VALV1"/>
        <xdr:cNvPicPr preferRelativeResize="1">
          <a:picLocks noChangeAspect="1"/>
        </xdr:cNvPicPr>
      </xdr:nvPicPr>
      <xdr:blipFill>
        <a:blip r:embed="rId4"/>
        <a:stretch>
          <a:fillRect/>
        </a:stretch>
      </xdr:blipFill>
      <xdr:spPr>
        <a:xfrm>
          <a:off x="419100" y="4962525"/>
          <a:ext cx="1876425" cy="3162300"/>
        </a:xfrm>
        <a:prstGeom prst="rect">
          <a:avLst/>
        </a:prstGeom>
        <a:noFill/>
        <a:ln w="9525" cmpd="sng">
          <a:noFill/>
        </a:ln>
      </xdr:spPr>
    </xdr:pic>
    <xdr:clientData/>
  </xdr:twoCellAnchor>
  <xdr:twoCellAnchor>
    <xdr:from>
      <xdr:col>6</xdr:col>
      <xdr:colOff>876300</xdr:colOff>
      <xdr:row>6</xdr:row>
      <xdr:rowOff>66675</xdr:rowOff>
    </xdr:from>
    <xdr:to>
      <xdr:col>9</xdr:col>
      <xdr:colOff>752475</xdr:colOff>
      <xdr:row>20</xdr:row>
      <xdr:rowOff>114300</xdr:rowOff>
    </xdr:to>
    <xdr:sp>
      <xdr:nvSpPr>
        <xdr:cNvPr id="5" name="Rectangle 12"/>
        <xdr:cNvSpPr>
          <a:spLocks/>
        </xdr:cNvSpPr>
      </xdr:nvSpPr>
      <xdr:spPr>
        <a:xfrm>
          <a:off x="5686425" y="1238250"/>
          <a:ext cx="2447925" cy="26860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809625</xdr:colOff>
      <xdr:row>6</xdr:row>
      <xdr:rowOff>57150</xdr:rowOff>
    </xdr:from>
    <xdr:to>
      <xdr:col>6</xdr:col>
      <xdr:colOff>704850</xdr:colOff>
      <xdr:row>26</xdr:row>
      <xdr:rowOff>0</xdr:rowOff>
    </xdr:to>
    <xdr:sp>
      <xdr:nvSpPr>
        <xdr:cNvPr id="6" name="Rectangle 13"/>
        <xdr:cNvSpPr>
          <a:spLocks/>
        </xdr:cNvSpPr>
      </xdr:nvSpPr>
      <xdr:spPr>
        <a:xfrm>
          <a:off x="3095625" y="1228725"/>
          <a:ext cx="2419350" cy="3667125"/>
        </a:xfrm>
        <a:prstGeom prst="rect">
          <a:avLst/>
        </a:prstGeom>
        <a:noFill/>
        <a:ln w="222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6</xdr:row>
      <xdr:rowOff>57150</xdr:rowOff>
    </xdr:from>
    <xdr:to>
      <xdr:col>3</xdr:col>
      <xdr:colOff>809625</xdr:colOff>
      <xdr:row>25</xdr:row>
      <xdr:rowOff>228600</xdr:rowOff>
    </xdr:to>
    <xdr:sp>
      <xdr:nvSpPr>
        <xdr:cNvPr id="7" name="Rectangle 14"/>
        <xdr:cNvSpPr>
          <a:spLocks/>
        </xdr:cNvSpPr>
      </xdr:nvSpPr>
      <xdr:spPr>
        <a:xfrm>
          <a:off x="85725" y="1228725"/>
          <a:ext cx="3009900" cy="36576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0</xdr:colOff>
      <xdr:row>26</xdr:row>
      <xdr:rowOff>104775</xdr:rowOff>
    </xdr:from>
    <xdr:to>
      <xdr:col>6</xdr:col>
      <xdr:colOff>714375</xdr:colOff>
      <xdr:row>46</xdr:row>
      <xdr:rowOff>114300</xdr:rowOff>
    </xdr:to>
    <xdr:pic>
      <xdr:nvPicPr>
        <xdr:cNvPr id="8" name="Picture 15" descr="scr-sw fit"/>
        <xdr:cNvPicPr preferRelativeResize="1">
          <a:picLocks noChangeAspect="1"/>
        </xdr:cNvPicPr>
      </xdr:nvPicPr>
      <xdr:blipFill>
        <a:blip r:embed="rId5"/>
        <a:stretch>
          <a:fillRect/>
        </a:stretch>
      </xdr:blipFill>
      <xdr:spPr>
        <a:xfrm>
          <a:off x="3867150" y="5000625"/>
          <a:ext cx="1657350" cy="3009900"/>
        </a:xfrm>
        <a:prstGeom prst="rect">
          <a:avLst/>
        </a:prstGeom>
        <a:noFill/>
        <a:ln w="9525" cmpd="sng">
          <a:noFill/>
        </a:ln>
      </xdr:spPr>
    </xdr:pic>
    <xdr:clientData/>
  </xdr:twoCellAnchor>
  <xdr:twoCellAnchor>
    <xdr:from>
      <xdr:col>4</xdr:col>
      <xdr:colOff>0</xdr:colOff>
      <xdr:row>26</xdr:row>
      <xdr:rowOff>85725</xdr:rowOff>
    </xdr:from>
    <xdr:to>
      <xdr:col>7</xdr:col>
      <xdr:colOff>0</xdr:colOff>
      <xdr:row>47</xdr:row>
      <xdr:rowOff>38100</xdr:rowOff>
    </xdr:to>
    <xdr:sp>
      <xdr:nvSpPr>
        <xdr:cNvPr id="9" name="Rectangle 16"/>
        <xdr:cNvSpPr>
          <a:spLocks/>
        </xdr:cNvSpPr>
      </xdr:nvSpPr>
      <xdr:spPr>
        <a:xfrm>
          <a:off x="3105150" y="4981575"/>
          <a:ext cx="2581275" cy="3114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457200</xdr:colOff>
      <xdr:row>26</xdr:row>
      <xdr:rowOff>85725</xdr:rowOff>
    </xdr:from>
    <xdr:to>
      <xdr:col>4</xdr:col>
      <xdr:colOff>0</xdr:colOff>
      <xdr:row>47</xdr:row>
      <xdr:rowOff>38100</xdr:rowOff>
    </xdr:to>
    <xdr:sp>
      <xdr:nvSpPr>
        <xdr:cNvPr id="10" name="Rectangle 17"/>
        <xdr:cNvSpPr>
          <a:spLocks/>
        </xdr:cNvSpPr>
      </xdr:nvSpPr>
      <xdr:spPr>
        <a:xfrm>
          <a:off x="457200" y="4981575"/>
          <a:ext cx="2647950" cy="3114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9525</xdr:colOff>
      <xdr:row>27</xdr:row>
      <xdr:rowOff>38100</xdr:rowOff>
    </xdr:from>
    <xdr:to>
      <xdr:col>9</xdr:col>
      <xdr:colOff>657225</xdr:colOff>
      <xdr:row>46</xdr:row>
      <xdr:rowOff>152400</xdr:rowOff>
    </xdr:to>
    <xdr:pic>
      <xdr:nvPicPr>
        <xdr:cNvPr id="11" name="Picture 22" descr="cuplas"/>
        <xdr:cNvPicPr preferRelativeResize="1">
          <a:picLocks noChangeAspect="1"/>
        </xdr:cNvPicPr>
      </xdr:nvPicPr>
      <xdr:blipFill>
        <a:blip r:embed="rId6"/>
        <a:stretch>
          <a:fillRect/>
        </a:stretch>
      </xdr:blipFill>
      <xdr:spPr>
        <a:xfrm>
          <a:off x="6543675" y="5105400"/>
          <a:ext cx="1495425" cy="2943225"/>
        </a:xfrm>
        <a:prstGeom prst="rect">
          <a:avLst/>
        </a:prstGeom>
        <a:noFill/>
        <a:ln w="9525" cmpd="sng">
          <a:noFill/>
        </a:ln>
      </xdr:spPr>
    </xdr:pic>
    <xdr:clientData/>
  </xdr:twoCellAnchor>
  <xdr:twoCellAnchor>
    <xdr:from>
      <xdr:col>7</xdr:col>
      <xdr:colOff>9525</xdr:colOff>
      <xdr:row>26</xdr:row>
      <xdr:rowOff>85725</xdr:rowOff>
    </xdr:from>
    <xdr:to>
      <xdr:col>9</xdr:col>
      <xdr:colOff>752475</xdr:colOff>
      <xdr:row>47</xdr:row>
      <xdr:rowOff>38100</xdr:rowOff>
    </xdr:to>
    <xdr:sp>
      <xdr:nvSpPr>
        <xdr:cNvPr id="12" name="Rectangle 23"/>
        <xdr:cNvSpPr>
          <a:spLocks/>
        </xdr:cNvSpPr>
      </xdr:nvSpPr>
      <xdr:spPr>
        <a:xfrm>
          <a:off x="5695950" y="4981575"/>
          <a:ext cx="2438400" cy="3114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47625</xdr:colOff>
      <xdr:row>49</xdr:row>
      <xdr:rowOff>19050</xdr:rowOff>
    </xdr:from>
    <xdr:to>
      <xdr:col>3</xdr:col>
      <xdr:colOff>342900</xdr:colOff>
      <xdr:row>59</xdr:row>
      <xdr:rowOff>142875</xdr:rowOff>
    </xdr:to>
    <xdr:pic>
      <xdr:nvPicPr>
        <xdr:cNvPr id="13" name="Picture 34" descr="cv"/>
        <xdr:cNvPicPr preferRelativeResize="1">
          <a:picLocks noChangeAspect="1"/>
        </xdr:cNvPicPr>
      </xdr:nvPicPr>
      <xdr:blipFill>
        <a:blip r:embed="rId7"/>
        <a:stretch>
          <a:fillRect/>
        </a:stretch>
      </xdr:blipFill>
      <xdr:spPr>
        <a:xfrm>
          <a:off x="1571625" y="8401050"/>
          <a:ext cx="1057275" cy="1857375"/>
        </a:xfrm>
        <a:prstGeom prst="rect">
          <a:avLst/>
        </a:prstGeom>
        <a:noFill/>
        <a:ln w="9525" cmpd="sng">
          <a:noFill/>
        </a:ln>
      </xdr:spPr>
    </xdr:pic>
    <xdr:clientData/>
  </xdr:twoCellAnchor>
  <xdr:twoCellAnchor>
    <xdr:from>
      <xdr:col>0</xdr:col>
      <xdr:colOff>142875</xdr:colOff>
      <xdr:row>47</xdr:row>
      <xdr:rowOff>114300</xdr:rowOff>
    </xdr:from>
    <xdr:to>
      <xdr:col>3</xdr:col>
      <xdr:colOff>352425</xdr:colOff>
      <xdr:row>60</xdr:row>
      <xdr:rowOff>0</xdr:rowOff>
    </xdr:to>
    <xdr:sp>
      <xdr:nvSpPr>
        <xdr:cNvPr id="14" name="Rectangle 37"/>
        <xdr:cNvSpPr>
          <a:spLocks/>
        </xdr:cNvSpPr>
      </xdr:nvSpPr>
      <xdr:spPr>
        <a:xfrm>
          <a:off x="142875" y="8172450"/>
          <a:ext cx="2495550" cy="21050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180975</xdr:colOff>
      <xdr:row>49</xdr:row>
      <xdr:rowOff>76200</xdr:rowOff>
    </xdr:from>
    <xdr:to>
      <xdr:col>6</xdr:col>
      <xdr:colOff>457200</xdr:colOff>
      <xdr:row>59</xdr:row>
      <xdr:rowOff>123825</xdr:rowOff>
    </xdr:to>
    <xdr:pic>
      <xdr:nvPicPr>
        <xdr:cNvPr id="15" name="Picture 38" descr="relva"/>
        <xdr:cNvPicPr preferRelativeResize="1">
          <a:picLocks noChangeAspect="1"/>
        </xdr:cNvPicPr>
      </xdr:nvPicPr>
      <xdr:blipFill>
        <a:blip r:embed="rId8"/>
        <a:stretch>
          <a:fillRect/>
        </a:stretch>
      </xdr:blipFill>
      <xdr:spPr>
        <a:xfrm>
          <a:off x="4048125" y="8458200"/>
          <a:ext cx="1219200" cy="1781175"/>
        </a:xfrm>
        <a:prstGeom prst="rect">
          <a:avLst/>
        </a:prstGeom>
        <a:noFill/>
        <a:ln w="9525" cmpd="sng">
          <a:noFill/>
        </a:ln>
      </xdr:spPr>
    </xdr:pic>
    <xdr:clientData/>
  </xdr:twoCellAnchor>
  <xdr:twoCellAnchor>
    <xdr:from>
      <xdr:col>3</xdr:col>
      <xdr:colOff>361950</xdr:colOff>
      <xdr:row>47</xdr:row>
      <xdr:rowOff>104775</xdr:rowOff>
    </xdr:from>
    <xdr:to>
      <xdr:col>7</xdr:col>
      <xdr:colOff>0</xdr:colOff>
      <xdr:row>59</xdr:row>
      <xdr:rowOff>152400</xdr:rowOff>
    </xdr:to>
    <xdr:sp>
      <xdr:nvSpPr>
        <xdr:cNvPr id="16" name="Rectangle 41"/>
        <xdr:cNvSpPr>
          <a:spLocks/>
        </xdr:cNvSpPr>
      </xdr:nvSpPr>
      <xdr:spPr>
        <a:xfrm>
          <a:off x="2647950" y="8162925"/>
          <a:ext cx="3038475" cy="21050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28575</xdr:rowOff>
    </xdr:from>
    <xdr:to>
      <xdr:col>2</xdr:col>
      <xdr:colOff>752475</xdr:colOff>
      <xdr:row>4</xdr:row>
      <xdr:rowOff>180975</xdr:rowOff>
    </xdr:to>
    <xdr:sp>
      <xdr:nvSpPr>
        <xdr:cNvPr id="17" name="Text Box 43"/>
        <xdr:cNvSpPr txBox="1">
          <a:spLocks noChangeArrowheads="1"/>
        </xdr:cNvSpPr>
      </xdr:nvSpPr>
      <xdr:spPr>
        <a:xfrm>
          <a:off x="38100" y="28575"/>
          <a:ext cx="2238375" cy="952500"/>
        </a:xfrm>
        <a:prstGeom prst="rect">
          <a:avLst/>
        </a:prstGeom>
        <a:solidFill>
          <a:srgbClr val="FFFFFF"/>
        </a:solidFill>
        <a:ln w="19050" cmpd="sng">
          <a:solidFill>
            <a:srgbClr val="FF0000"/>
          </a:solidFill>
          <a:headEnd type="none"/>
          <a:tailEnd type="none"/>
        </a:ln>
      </xdr:spPr>
      <xdr:txBody>
        <a:bodyPr vertOverflow="clip" wrap="square" lIns="27432" tIns="18288" rIns="27432" bIns="0"/>
        <a:p>
          <a:pPr algn="ctr">
            <a:defRPr/>
          </a:pPr>
          <a:r>
            <a:rPr lang="en-US" cap="none" sz="800" b="1" i="0" u="none" baseline="0">
              <a:solidFill>
                <a:srgbClr val="000000"/>
              </a:solidFill>
              <a:latin typeface="Arial Rounded MT Bold"/>
              <a:ea typeface="Arial Rounded MT Bold"/>
              <a:cs typeface="Arial Rounded MT Bold"/>
            </a:rPr>
            <a:t>
</a:t>
          </a:r>
          <a:r>
            <a:rPr lang="en-US" cap="none" sz="2000" b="1" i="0" u="none" baseline="0">
              <a:solidFill>
                <a:srgbClr val="000000"/>
              </a:solidFill>
              <a:latin typeface="Arial Rounded MT Bold"/>
              <a:ea typeface="Arial Rounded MT Bold"/>
              <a:cs typeface="Arial Rounded MT Bold"/>
            </a:rPr>
            <a:t>DIMPIPE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DIMENSIONES DE CAÑERÍAS</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Autor: Ing. Fernando Golzman
</a:t>
          </a:r>
          <a:r>
            <a:rPr lang="en-US" cap="none" sz="800" b="0" i="0" u="none" baseline="0">
              <a:solidFill>
                <a:srgbClr val="000000"/>
              </a:solidFill>
              <a:latin typeface="Arial"/>
              <a:ea typeface="Arial"/>
              <a:cs typeface="Arial"/>
            </a:rPr>
            <a:t>Versión 2.0 - Octubre 30 de 2003</a:t>
          </a:r>
        </a:p>
      </xdr:txBody>
    </xdr:sp>
    <xdr:clientData/>
  </xdr:twoCellAnchor>
  <xdr:twoCellAnchor editAs="oneCell">
    <xdr:from>
      <xdr:col>7</xdr:col>
      <xdr:colOff>609600</xdr:colOff>
      <xdr:row>49</xdr:row>
      <xdr:rowOff>28575</xdr:rowOff>
    </xdr:from>
    <xdr:to>
      <xdr:col>8</xdr:col>
      <xdr:colOff>809625</xdr:colOff>
      <xdr:row>53</xdr:row>
      <xdr:rowOff>19050</xdr:rowOff>
    </xdr:to>
    <xdr:pic>
      <xdr:nvPicPr>
        <xdr:cNvPr id="18" name="Picture 47" descr="CARAS DE BRIDAS"/>
        <xdr:cNvPicPr preferRelativeResize="1">
          <a:picLocks noChangeAspect="1"/>
        </xdr:cNvPicPr>
      </xdr:nvPicPr>
      <xdr:blipFill>
        <a:blip r:embed="rId9"/>
        <a:stretch>
          <a:fillRect/>
        </a:stretch>
      </xdr:blipFill>
      <xdr:spPr>
        <a:xfrm>
          <a:off x="6296025" y="8410575"/>
          <a:ext cx="1047750" cy="695325"/>
        </a:xfrm>
        <a:prstGeom prst="rect">
          <a:avLst/>
        </a:prstGeom>
        <a:noFill/>
        <a:ln w="9525" cmpd="sng">
          <a:noFill/>
        </a:ln>
      </xdr:spPr>
    </xdr:pic>
    <xdr:clientData/>
  </xdr:twoCellAnchor>
  <xdr:twoCellAnchor>
    <xdr:from>
      <xdr:col>7</xdr:col>
      <xdr:colOff>9525</xdr:colOff>
      <xdr:row>47</xdr:row>
      <xdr:rowOff>104775</xdr:rowOff>
    </xdr:from>
    <xdr:to>
      <xdr:col>11</xdr:col>
      <xdr:colOff>0</xdr:colOff>
      <xdr:row>59</xdr:row>
      <xdr:rowOff>152400</xdr:rowOff>
    </xdr:to>
    <xdr:sp>
      <xdr:nvSpPr>
        <xdr:cNvPr id="19" name="Rectangle 48"/>
        <xdr:cNvSpPr>
          <a:spLocks/>
        </xdr:cNvSpPr>
      </xdr:nvSpPr>
      <xdr:spPr>
        <a:xfrm>
          <a:off x="5695950" y="8162925"/>
          <a:ext cx="3257550" cy="210502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0</xdr:row>
      <xdr:rowOff>114300</xdr:rowOff>
    </xdr:from>
    <xdr:to>
      <xdr:col>7</xdr:col>
      <xdr:colOff>542925</xdr:colOff>
      <xdr:row>0</xdr:row>
      <xdr:rowOff>114300</xdr:rowOff>
    </xdr:to>
    <xdr:sp>
      <xdr:nvSpPr>
        <xdr:cNvPr id="20" name="Line 51"/>
        <xdr:cNvSpPr>
          <a:spLocks/>
        </xdr:cNvSpPr>
      </xdr:nvSpPr>
      <xdr:spPr>
        <a:xfrm flipH="1">
          <a:off x="5705475" y="114300"/>
          <a:ext cx="523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5</xdr:col>
      <xdr:colOff>57150</xdr:colOff>
      <xdr:row>63</xdr:row>
      <xdr:rowOff>114300</xdr:rowOff>
    </xdr:from>
    <xdr:to>
      <xdr:col>5</xdr:col>
      <xdr:colOff>904875</xdr:colOff>
      <xdr:row>67</xdr:row>
      <xdr:rowOff>171450</xdr:rowOff>
    </xdr:to>
    <xdr:pic>
      <xdr:nvPicPr>
        <xdr:cNvPr id="21" name="Picture 55" descr="dist1"/>
        <xdr:cNvPicPr preferRelativeResize="1">
          <a:picLocks noChangeAspect="1"/>
        </xdr:cNvPicPr>
      </xdr:nvPicPr>
      <xdr:blipFill>
        <a:blip r:embed="rId10"/>
        <a:stretch>
          <a:fillRect/>
        </a:stretch>
      </xdr:blipFill>
      <xdr:spPr>
        <a:xfrm>
          <a:off x="3924300" y="10887075"/>
          <a:ext cx="847725" cy="819150"/>
        </a:xfrm>
        <a:prstGeom prst="rect">
          <a:avLst/>
        </a:prstGeom>
        <a:noFill/>
        <a:ln w="9525" cmpd="sng">
          <a:noFill/>
        </a:ln>
      </xdr:spPr>
    </xdr:pic>
    <xdr:clientData/>
  </xdr:twoCellAnchor>
  <xdr:twoCellAnchor editAs="oneCell">
    <xdr:from>
      <xdr:col>7</xdr:col>
      <xdr:colOff>28575</xdr:colOff>
      <xdr:row>63</xdr:row>
      <xdr:rowOff>142875</xdr:rowOff>
    </xdr:from>
    <xdr:to>
      <xdr:col>7</xdr:col>
      <xdr:colOff>790575</xdr:colOff>
      <xdr:row>68</xdr:row>
      <xdr:rowOff>9525</xdr:rowOff>
    </xdr:to>
    <xdr:pic>
      <xdr:nvPicPr>
        <xdr:cNvPr id="22" name="Picture 56" descr="dist2"/>
        <xdr:cNvPicPr preferRelativeResize="1">
          <a:picLocks noChangeAspect="1"/>
        </xdr:cNvPicPr>
      </xdr:nvPicPr>
      <xdr:blipFill>
        <a:blip r:embed="rId11"/>
        <a:stretch>
          <a:fillRect/>
        </a:stretch>
      </xdr:blipFill>
      <xdr:spPr>
        <a:xfrm>
          <a:off x="5715000" y="10915650"/>
          <a:ext cx="762000" cy="828675"/>
        </a:xfrm>
        <a:prstGeom prst="rect">
          <a:avLst/>
        </a:prstGeom>
        <a:noFill/>
        <a:ln w="9525" cmpd="sng">
          <a:noFill/>
        </a:ln>
      </xdr:spPr>
    </xdr:pic>
    <xdr:clientData/>
  </xdr:twoCellAnchor>
  <xdr:twoCellAnchor editAs="oneCell">
    <xdr:from>
      <xdr:col>9</xdr:col>
      <xdr:colOff>57150</xdr:colOff>
      <xdr:row>64</xdr:row>
      <xdr:rowOff>0</xdr:rowOff>
    </xdr:from>
    <xdr:to>
      <xdr:col>9</xdr:col>
      <xdr:colOff>809625</xdr:colOff>
      <xdr:row>68</xdr:row>
      <xdr:rowOff>76200</xdr:rowOff>
    </xdr:to>
    <xdr:pic>
      <xdr:nvPicPr>
        <xdr:cNvPr id="23" name="Picture 57" descr="dist3"/>
        <xdr:cNvPicPr preferRelativeResize="1">
          <a:picLocks noChangeAspect="1"/>
        </xdr:cNvPicPr>
      </xdr:nvPicPr>
      <xdr:blipFill>
        <a:blip r:embed="rId12"/>
        <a:stretch>
          <a:fillRect/>
        </a:stretch>
      </xdr:blipFill>
      <xdr:spPr>
        <a:xfrm>
          <a:off x="7439025" y="10982325"/>
          <a:ext cx="752475" cy="828675"/>
        </a:xfrm>
        <a:prstGeom prst="rect">
          <a:avLst/>
        </a:prstGeom>
        <a:noFill/>
        <a:ln w="9525" cmpd="sng">
          <a:noFill/>
        </a:ln>
      </xdr:spPr>
    </xdr:pic>
    <xdr:clientData/>
  </xdr:twoCellAnchor>
  <xdr:twoCellAnchor>
    <xdr:from>
      <xdr:col>7</xdr:col>
      <xdr:colOff>9525</xdr:colOff>
      <xdr:row>61</xdr:row>
      <xdr:rowOff>9525</xdr:rowOff>
    </xdr:from>
    <xdr:to>
      <xdr:col>9</xdr:col>
      <xdr:colOff>9525</xdr:colOff>
      <xdr:row>69</xdr:row>
      <xdr:rowOff>19050</xdr:rowOff>
    </xdr:to>
    <xdr:sp>
      <xdr:nvSpPr>
        <xdr:cNvPr id="24" name="Rectangle 58"/>
        <xdr:cNvSpPr>
          <a:spLocks/>
        </xdr:cNvSpPr>
      </xdr:nvSpPr>
      <xdr:spPr>
        <a:xfrm>
          <a:off x="5695950" y="10448925"/>
          <a:ext cx="1695450" cy="14668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61</xdr:row>
      <xdr:rowOff>85725</xdr:rowOff>
    </xdr:from>
    <xdr:to>
      <xdr:col>7</xdr:col>
      <xdr:colOff>209550</xdr:colOff>
      <xdr:row>63</xdr:row>
      <xdr:rowOff>104775</xdr:rowOff>
    </xdr:to>
    <xdr:sp>
      <xdr:nvSpPr>
        <xdr:cNvPr id="25" name="Line 60"/>
        <xdr:cNvSpPr>
          <a:spLocks/>
        </xdr:cNvSpPr>
      </xdr:nvSpPr>
      <xdr:spPr>
        <a:xfrm>
          <a:off x="5895975" y="1052512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571500</xdr:colOff>
      <xdr:row>61</xdr:row>
      <xdr:rowOff>95250</xdr:rowOff>
    </xdr:from>
    <xdr:to>
      <xdr:col>7</xdr:col>
      <xdr:colOff>571500</xdr:colOff>
      <xdr:row>63</xdr:row>
      <xdr:rowOff>114300</xdr:rowOff>
    </xdr:to>
    <xdr:sp>
      <xdr:nvSpPr>
        <xdr:cNvPr id="26" name="Line 61"/>
        <xdr:cNvSpPr>
          <a:spLocks/>
        </xdr:cNvSpPr>
      </xdr:nvSpPr>
      <xdr:spPr>
        <a:xfrm>
          <a:off x="6257925" y="1053465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62</xdr:row>
      <xdr:rowOff>47625</xdr:rowOff>
    </xdr:from>
    <xdr:to>
      <xdr:col>7</xdr:col>
      <xdr:colOff>571500</xdr:colOff>
      <xdr:row>62</xdr:row>
      <xdr:rowOff>47625</xdr:rowOff>
    </xdr:to>
    <xdr:sp>
      <xdr:nvSpPr>
        <xdr:cNvPr id="27" name="Line 62"/>
        <xdr:cNvSpPr>
          <a:spLocks/>
        </xdr:cNvSpPr>
      </xdr:nvSpPr>
      <xdr:spPr>
        <a:xfrm>
          <a:off x="5895975" y="10648950"/>
          <a:ext cx="3619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581025</xdr:colOff>
      <xdr:row>62</xdr:row>
      <xdr:rowOff>47625</xdr:rowOff>
    </xdr:from>
    <xdr:to>
      <xdr:col>8</xdr:col>
      <xdr:colOff>104775</xdr:colOff>
      <xdr:row>62</xdr:row>
      <xdr:rowOff>47625</xdr:rowOff>
    </xdr:to>
    <xdr:sp>
      <xdr:nvSpPr>
        <xdr:cNvPr id="28" name="Line 63"/>
        <xdr:cNvSpPr>
          <a:spLocks/>
        </xdr:cNvSpPr>
      </xdr:nvSpPr>
      <xdr:spPr>
        <a:xfrm>
          <a:off x="6267450" y="10648950"/>
          <a:ext cx="371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114300</xdr:colOff>
      <xdr:row>64</xdr:row>
      <xdr:rowOff>9525</xdr:rowOff>
    </xdr:from>
    <xdr:to>
      <xdr:col>8</xdr:col>
      <xdr:colOff>114300</xdr:colOff>
      <xdr:row>65</xdr:row>
      <xdr:rowOff>9525</xdr:rowOff>
    </xdr:to>
    <xdr:sp>
      <xdr:nvSpPr>
        <xdr:cNvPr id="29" name="Line 64"/>
        <xdr:cNvSpPr>
          <a:spLocks/>
        </xdr:cNvSpPr>
      </xdr:nvSpPr>
      <xdr:spPr>
        <a:xfrm>
          <a:off x="6648450" y="109918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104775</xdr:colOff>
      <xdr:row>62</xdr:row>
      <xdr:rowOff>47625</xdr:rowOff>
    </xdr:from>
    <xdr:to>
      <xdr:col>8</xdr:col>
      <xdr:colOff>104775</xdr:colOff>
      <xdr:row>63</xdr:row>
      <xdr:rowOff>19050</xdr:rowOff>
    </xdr:to>
    <xdr:sp>
      <xdr:nvSpPr>
        <xdr:cNvPr id="30" name="Line 66"/>
        <xdr:cNvSpPr>
          <a:spLocks/>
        </xdr:cNvSpPr>
      </xdr:nvSpPr>
      <xdr:spPr>
        <a:xfrm>
          <a:off x="6638925" y="1064895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61</xdr:row>
      <xdr:rowOff>9525</xdr:rowOff>
    </xdr:from>
    <xdr:to>
      <xdr:col>11</xdr:col>
      <xdr:colOff>0</xdr:colOff>
      <xdr:row>69</xdr:row>
      <xdr:rowOff>19050</xdr:rowOff>
    </xdr:to>
    <xdr:sp>
      <xdr:nvSpPr>
        <xdr:cNvPr id="31" name="Rectangle 67"/>
        <xdr:cNvSpPr>
          <a:spLocks/>
        </xdr:cNvSpPr>
      </xdr:nvSpPr>
      <xdr:spPr>
        <a:xfrm>
          <a:off x="7391400" y="10448925"/>
          <a:ext cx="1562100" cy="14668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19050</xdr:colOff>
      <xdr:row>61</xdr:row>
      <xdr:rowOff>9525</xdr:rowOff>
    </xdr:from>
    <xdr:to>
      <xdr:col>7</xdr:col>
      <xdr:colOff>9525</xdr:colOff>
      <xdr:row>69</xdr:row>
      <xdr:rowOff>19050</xdr:rowOff>
    </xdr:to>
    <xdr:sp>
      <xdr:nvSpPr>
        <xdr:cNvPr id="32" name="Rectangle 68"/>
        <xdr:cNvSpPr>
          <a:spLocks/>
        </xdr:cNvSpPr>
      </xdr:nvSpPr>
      <xdr:spPr>
        <a:xfrm>
          <a:off x="3886200" y="10448925"/>
          <a:ext cx="1809750" cy="14668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61</xdr:row>
      <xdr:rowOff>95250</xdr:rowOff>
    </xdr:from>
    <xdr:to>
      <xdr:col>5</xdr:col>
      <xdr:colOff>304800</xdr:colOff>
      <xdr:row>63</xdr:row>
      <xdr:rowOff>114300</xdr:rowOff>
    </xdr:to>
    <xdr:sp>
      <xdr:nvSpPr>
        <xdr:cNvPr id="33" name="Line 69"/>
        <xdr:cNvSpPr>
          <a:spLocks/>
        </xdr:cNvSpPr>
      </xdr:nvSpPr>
      <xdr:spPr>
        <a:xfrm>
          <a:off x="4171950" y="1053465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666750</xdr:colOff>
      <xdr:row>61</xdr:row>
      <xdr:rowOff>104775</xdr:rowOff>
    </xdr:from>
    <xdr:to>
      <xdr:col>5</xdr:col>
      <xdr:colOff>666750</xdr:colOff>
      <xdr:row>63</xdr:row>
      <xdr:rowOff>123825</xdr:rowOff>
    </xdr:to>
    <xdr:sp>
      <xdr:nvSpPr>
        <xdr:cNvPr id="34" name="Line 70"/>
        <xdr:cNvSpPr>
          <a:spLocks/>
        </xdr:cNvSpPr>
      </xdr:nvSpPr>
      <xdr:spPr>
        <a:xfrm>
          <a:off x="4533900" y="105441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62</xdr:row>
      <xdr:rowOff>47625</xdr:rowOff>
    </xdr:from>
    <xdr:to>
      <xdr:col>5</xdr:col>
      <xdr:colOff>666750</xdr:colOff>
      <xdr:row>62</xdr:row>
      <xdr:rowOff>47625</xdr:rowOff>
    </xdr:to>
    <xdr:sp>
      <xdr:nvSpPr>
        <xdr:cNvPr id="35" name="Line 71"/>
        <xdr:cNvSpPr>
          <a:spLocks/>
        </xdr:cNvSpPr>
      </xdr:nvSpPr>
      <xdr:spPr>
        <a:xfrm>
          <a:off x="4171950" y="10648950"/>
          <a:ext cx="3619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64</xdr:row>
      <xdr:rowOff>0</xdr:rowOff>
    </xdr:from>
    <xdr:to>
      <xdr:col>6</xdr:col>
      <xdr:colOff>114300</xdr:colOff>
      <xdr:row>65</xdr:row>
      <xdr:rowOff>0</xdr:rowOff>
    </xdr:to>
    <xdr:sp>
      <xdr:nvSpPr>
        <xdr:cNvPr id="36" name="Line 72"/>
        <xdr:cNvSpPr>
          <a:spLocks/>
        </xdr:cNvSpPr>
      </xdr:nvSpPr>
      <xdr:spPr>
        <a:xfrm>
          <a:off x="4924425" y="10982325"/>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247650</xdr:colOff>
      <xdr:row>61</xdr:row>
      <xdr:rowOff>95250</xdr:rowOff>
    </xdr:from>
    <xdr:to>
      <xdr:col>9</xdr:col>
      <xdr:colOff>247650</xdr:colOff>
      <xdr:row>63</xdr:row>
      <xdr:rowOff>114300</xdr:rowOff>
    </xdr:to>
    <xdr:sp>
      <xdr:nvSpPr>
        <xdr:cNvPr id="37" name="Line 74"/>
        <xdr:cNvSpPr>
          <a:spLocks/>
        </xdr:cNvSpPr>
      </xdr:nvSpPr>
      <xdr:spPr>
        <a:xfrm>
          <a:off x="7629525" y="1053465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609600</xdr:colOff>
      <xdr:row>61</xdr:row>
      <xdr:rowOff>104775</xdr:rowOff>
    </xdr:from>
    <xdr:to>
      <xdr:col>9</xdr:col>
      <xdr:colOff>609600</xdr:colOff>
      <xdr:row>63</xdr:row>
      <xdr:rowOff>123825</xdr:rowOff>
    </xdr:to>
    <xdr:sp>
      <xdr:nvSpPr>
        <xdr:cNvPr id="38" name="Line 75"/>
        <xdr:cNvSpPr>
          <a:spLocks/>
        </xdr:cNvSpPr>
      </xdr:nvSpPr>
      <xdr:spPr>
        <a:xfrm>
          <a:off x="7991475" y="105441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247650</xdr:colOff>
      <xdr:row>62</xdr:row>
      <xdr:rowOff>38100</xdr:rowOff>
    </xdr:from>
    <xdr:to>
      <xdr:col>9</xdr:col>
      <xdr:colOff>609600</xdr:colOff>
      <xdr:row>62</xdr:row>
      <xdr:rowOff>38100</xdr:rowOff>
    </xdr:to>
    <xdr:sp>
      <xdr:nvSpPr>
        <xdr:cNvPr id="39" name="Line 76"/>
        <xdr:cNvSpPr>
          <a:spLocks/>
        </xdr:cNvSpPr>
      </xdr:nvSpPr>
      <xdr:spPr>
        <a:xfrm>
          <a:off x="7629525" y="10639425"/>
          <a:ext cx="3619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581025</xdr:colOff>
      <xdr:row>62</xdr:row>
      <xdr:rowOff>47625</xdr:rowOff>
    </xdr:from>
    <xdr:to>
      <xdr:col>10</xdr:col>
      <xdr:colOff>104775</xdr:colOff>
      <xdr:row>62</xdr:row>
      <xdr:rowOff>47625</xdr:rowOff>
    </xdr:to>
    <xdr:sp>
      <xdr:nvSpPr>
        <xdr:cNvPr id="40" name="Line 81"/>
        <xdr:cNvSpPr>
          <a:spLocks/>
        </xdr:cNvSpPr>
      </xdr:nvSpPr>
      <xdr:spPr>
        <a:xfrm>
          <a:off x="7962900" y="10648950"/>
          <a:ext cx="3333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104775</xdr:colOff>
      <xdr:row>62</xdr:row>
      <xdr:rowOff>47625</xdr:rowOff>
    </xdr:from>
    <xdr:to>
      <xdr:col>10</xdr:col>
      <xdr:colOff>104775</xdr:colOff>
      <xdr:row>63</xdr:row>
      <xdr:rowOff>19050</xdr:rowOff>
    </xdr:to>
    <xdr:sp>
      <xdr:nvSpPr>
        <xdr:cNvPr id="41" name="Line 82"/>
        <xdr:cNvSpPr>
          <a:spLocks/>
        </xdr:cNvSpPr>
      </xdr:nvSpPr>
      <xdr:spPr>
        <a:xfrm>
          <a:off x="8296275" y="1064895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581025</xdr:colOff>
      <xdr:row>62</xdr:row>
      <xdr:rowOff>47625</xdr:rowOff>
    </xdr:from>
    <xdr:to>
      <xdr:col>6</xdr:col>
      <xdr:colOff>104775</xdr:colOff>
      <xdr:row>62</xdr:row>
      <xdr:rowOff>47625</xdr:rowOff>
    </xdr:to>
    <xdr:sp>
      <xdr:nvSpPr>
        <xdr:cNvPr id="42" name="Line 83"/>
        <xdr:cNvSpPr>
          <a:spLocks/>
        </xdr:cNvSpPr>
      </xdr:nvSpPr>
      <xdr:spPr>
        <a:xfrm>
          <a:off x="4448175" y="10648950"/>
          <a:ext cx="4667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104775</xdr:colOff>
      <xdr:row>62</xdr:row>
      <xdr:rowOff>47625</xdr:rowOff>
    </xdr:from>
    <xdr:to>
      <xdr:col>6</xdr:col>
      <xdr:colOff>104775</xdr:colOff>
      <xdr:row>63</xdr:row>
      <xdr:rowOff>19050</xdr:rowOff>
    </xdr:to>
    <xdr:sp>
      <xdr:nvSpPr>
        <xdr:cNvPr id="43" name="Line 84"/>
        <xdr:cNvSpPr>
          <a:spLocks/>
        </xdr:cNvSpPr>
      </xdr:nvSpPr>
      <xdr:spPr>
        <a:xfrm>
          <a:off x="4914900" y="10648950"/>
          <a:ext cx="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114300</xdr:colOff>
      <xdr:row>64</xdr:row>
      <xdr:rowOff>9525</xdr:rowOff>
    </xdr:from>
    <xdr:to>
      <xdr:col>10</xdr:col>
      <xdr:colOff>114300</xdr:colOff>
      <xdr:row>65</xdr:row>
      <xdr:rowOff>9525</xdr:rowOff>
    </xdr:to>
    <xdr:sp>
      <xdr:nvSpPr>
        <xdr:cNvPr id="44" name="Line 85"/>
        <xdr:cNvSpPr>
          <a:spLocks/>
        </xdr:cNvSpPr>
      </xdr:nvSpPr>
      <xdr:spPr>
        <a:xfrm>
          <a:off x="8305800" y="109918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114300</xdr:colOff>
      <xdr:row>64</xdr:row>
      <xdr:rowOff>9525</xdr:rowOff>
    </xdr:from>
    <xdr:to>
      <xdr:col>6</xdr:col>
      <xdr:colOff>114300</xdr:colOff>
      <xdr:row>65</xdr:row>
      <xdr:rowOff>9525</xdr:rowOff>
    </xdr:to>
    <xdr:sp>
      <xdr:nvSpPr>
        <xdr:cNvPr id="45" name="Line 88"/>
        <xdr:cNvSpPr>
          <a:spLocks/>
        </xdr:cNvSpPr>
      </xdr:nvSpPr>
      <xdr:spPr>
        <a:xfrm>
          <a:off x="4924425" y="1099185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Hoja1"/>
  <dimension ref="A1:CA356"/>
  <sheetViews>
    <sheetView showGridLines="0" tabSelected="1" zoomScalePageLayoutView="0" workbookViewId="0" topLeftCell="A1">
      <selection activeCell="G3" sqref="G3"/>
    </sheetView>
  </sheetViews>
  <sheetFormatPr defaultColWidth="11.421875" defaultRowHeight="12.75"/>
  <cols>
    <col min="4" max="4" width="12.28125" style="0" bestFit="1" customWidth="1"/>
    <col min="6" max="6" width="14.140625" style="0" customWidth="1"/>
    <col min="7" max="7" width="13.140625" style="0" customWidth="1"/>
    <col min="8" max="9" width="12.7109375" style="0" customWidth="1"/>
    <col min="10" max="10" width="12.140625" style="0" customWidth="1"/>
    <col min="16" max="16" width="12.28125" style="0" bestFit="1" customWidth="1"/>
  </cols>
  <sheetData>
    <row r="1" spans="4:10" ht="15" customHeight="1" thickBot="1">
      <c r="D1" s="270" t="s">
        <v>197</v>
      </c>
      <c r="E1" s="271"/>
      <c r="F1" s="272"/>
      <c r="G1" s="163" t="s">
        <v>181</v>
      </c>
      <c r="H1" s="273" t="s">
        <v>179</v>
      </c>
      <c r="I1" s="274"/>
      <c r="J1" s="275"/>
    </row>
    <row r="2" spans="4:10" ht="15" customHeight="1" thickBot="1">
      <c r="D2" s="154" t="s">
        <v>20</v>
      </c>
      <c r="E2" s="155" t="s">
        <v>103</v>
      </c>
      <c r="F2" s="155" t="s">
        <v>104</v>
      </c>
      <c r="G2" s="164" t="s">
        <v>172</v>
      </c>
      <c r="H2" s="165" t="s">
        <v>178</v>
      </c>
      <c r="I2" s="254" t="s">
        <v>173</v>
      </c>
      <c r="J2" s="255"/>
    </row>
    <row r="3" spans="4:10" ht="18" customHeight="1" thickBot="1">
      <c r="D3" s="156"/>
      <c r="E3" s="157"/>
      <c r="F3" s="158"/>
      <c r="G3" s="143">
        <v>30</v>
      </c>
      <c r="H3" s="73">
        <f>G3*1.8+32</f>
        <v>86</v>
      </c>
      <c r="I3" s="135" t="s">
        <v>177</v>
      </c>
      <c r="J3" s="136">
        <f>IF(R=1,AD281,(IF(R=2,AE281,AF281)))</f>
        <v>990</v>
      </c>
    </row>
    <row r="4" spans="1:10" ht="15" customHeight="1" thickBot="1">
      <c r="A4" s="118"/>
      <c r="B4" s="118"/>
      <c r="D4" s="159" t="s">
        <v>64</v>
      </c>
      <c r="E4" s="160" t="s">
        <v>71</v>
      </c>
      <c r="F4" s="160" t="s">
        <v>65</v>
      </c>
      <c r="G4" s="160" t="s">
        <v>68</v>
      </c>
      <c r="H4" s="72" t="s">
        <v>69</v>
      </c>
      <c r="I4" s="135" t="s">
        <v>174</v>
      </c>
      <c r="J4" s="137">
        <f>J3*0.07030696</f>
        <v>69.6038904</v>
      </c>
    </row>
    <row r="5" spans="4:10" ht="17.25" customHeight="1" thickBot="1">
      <c r="D5" s="161"/>
      <c r="E5" s="162">
        <f>INDEX(ESP,SCH,D)</f>
        <v>2.77</v>
      </c>
      <c r="F5" s="162">
        <f>INDEX(PESO,SCH,D)</f>
        <v>1.27</v>
      </c>
      <c r="G5" s="130">
        <v>1</v>
      </c>
      <c r="H5" s="73">
        <f>F5*G5</f>
        <v>1.27</v>
      </c>
      <c r="I5" s="135" t="s">
        <v>180</v>
      </c>
      <c r="J5" s="138">
        <f>J3*0.006894767</f>
        <v>6.825819330000001</v>
      </c>
    </row>
    <row r="6" spans="2:10" ht="12" customHeight="1" thickBot="1">
      <c r="B6" s="259" t="s">
        <v>195</v>
      </c>
      <c r="C6" s="260"/>
      <c r="D6" s="196">
        <f>PI()*$H$9/1000</f>
        <v>0.06597344572538566</v>
      </c>
      <c r="E6" s="261" t="s">
        <v>198</v>
      </c>
      <c r="F6" s="262"/>
      <c r="G6" s="196">
        <f>PI()*($H$9-(2*$E$5))^2/4000</f>
        <v>0.18771927167068558</v>
      </c>
      <c r="H6" s="259" t="s">
        <v>196</v>
      </c>
      <c r="I6" s="260"/>
      <c r="J6" s="196">
        <f>PI()*($H$9-(2*$E$5))^2/4000+$F$5</f>
        <v>1.4577192716706855</v>
      </c>
    </row>
    <row r="7" ht="13.5" thickBot="1"/>
    <row r="8" spans="4:34" ht="13.5" thickBot="1">
      <c r="D8" s="44">
        <f>IF(R=1,INDEX(PR150,1,D),(IF(R=2,INDEX(PR300,1,D),INDEX(PR600,1,D))))</f>
        <v>178</v>
      </c>
      <c r="AE8" s="2"/>
      <c r="AF8" s="2"/>
      <c r="AG8" s="2"/>
      <c r="AH8" s="2"/>
    </row>
    <row r="9" spans="4:8" ht="16.5" customHeight="1" thickBot="1">
      <c r="D9" s="44">
        <f>IF(R=1,INDEX(PR150,2,D),(IF(P96=2,INDEX(PR300,2,D),INDEX(PR600,2,D))))</f>
        <v>165</v>
      </c>
      <c r="E9" s="44">
        <f>IF(R=1,INDEX(PR150,17,D),(IF(R=2,INDEX(PR300,17,D),INDEX(PR600,17,D))))</f>
        <v>95</v>
      </c>
      <c r="H9" s="44">
        <f>INDEX(FIT,1,D)</f>
        <v>21</v>
      </c>
    </row>
    <row r="10" spans="4:8" ht="16.5" customHeight="1" thickBot="1">
      <c r="D10" s="45">
        <f>IF(R=1,INDEX(PR150,3,D),(IF(R=2,INDEX(PR300,3,D),INDEX(PR600,3,D))))</f>
        <v>164</v>
      </c>
      <c r="E10" s="44">
        <f>IF(R=1,INDEX(PR150,18,D),(IF(R=2,INDEX(PR300,18,D),INDEX(PR600,18,D))))</f>
        <v>59</v>
      </c>
      <c r="H10" s="44">
        <f>INDEX(FIT,2,D)</f>
        <v>10.5</v>
      </c>
    </row>
    <row r="11" spans="4:8" ht="17.25" customHeight="1" thickBot="1">
      <c r="D11" s="44">
        <f>IF(R=1,INDEX(PR150,4,D),(IF(R=2,INDEX(PR300,4,D),INDEX(PR600,4,D))))</f>
        <v>89</v>
      </c>
      <c r="E11" s="44" t="str">
        <f>IF(R=1,INDEX(PR150,19,D),(IF(R=2,INDEX(PR300,19,D),INDEX(PR600,19,D))))</f>
        <v>-</v>
      </c>
      <c r="H11" s="44" t="str">
        <f>INDEX(FIT,3,D)</f>
        <v>-</v>
      </c>
    </row>
    <row r="12" spans="4:8" ht="9.75" customHeight="1" thickBot="1">
      <c r="D12" s="46"/>
      <c r="E12" s="46"/>
      <c r="H12" s="47"/>
    </row>
    <row r="13" spans="4:8" ht="15.75" customHeight="1" thickBot="1">
      <c r="D13" s="44">
        <f>IF(R=1,INDEX(PR150,5,D),(IF(R=2,INDEX(PR300,5,D),INDEX(PR600,5,D))))</f>
        <v>200</v>
      </c>
      <c r="E13" s="44" t="str">
        <f>IF(R=1,INDEX(PR150,20,D),(IF(R=2,INDEX(PR300,20,D),INDEX(PR600,20,D))))</f>
        <v>-</v>
      </c>
      <c r="H13" s="47"/>
    </row>
    <row r="14" spans="4:8" ht="18.75" customHeight="1" thickBot="1">
      <c r="D14" s="44">
        <f>IF(R=1,INDEX(PR150,6,D),(IF(R=2,INDEX(PR300,6,D),INDEX(PR600,6,D))))</f>
        <v>165</v>
      </c>
      <c r="E14" s="44" t="str">
        <f>IF(R=1,INDEX(PR150,21,D),(IF(R=2,INDEX(PR300,21,D),INDEX(PR600,21,D))))</f>
        <v>-</v>
      </c>
      <c r="H14" s="44" t="str">
        <f>INDEX(FIT,4,D)</f>
        <v>-</v>
      </c>
    </row>
    <row r="15" spans="4:8" ht="15.75" customHeight="1" thickBot="1">
      <c r="D15" s="44">
        <f>IF(R=1,INDEX(PR150,7,D),(IF(R=2,INDEX(PR300,7,D),INDEX(PR600,7,D))))</f>
        <v>164</v>
      </c>
      <c r="E15" s="44" t="str">
        <f>IF(R=1,INDEX(PR150,22,D),(IF(R=2,INDEX(PR300,22,D),INDEX(PR600,22,D))))</f>
        <v>-</v>
      </c>
      <c r="H15" s="47"/>
    </row>
    <row r="16" spans="4:8" ht="18.75" customHeight="1" thickBot="1">
      <c r="D16" s="44">
        <f>IF(R=1,INDEX(PR150,8,D),(IF(R=2,INDEX(PR300,8,D),INDEX(PR600,8,D))))</f>
        <v>89</v>
      </c>
      <c r="E16" s="44">
        <f>IF(R=1,INDEX(PR150,23,D),(IF(R=2,INDEX(PR300,23,D),INDEX(PR600,23,D))))</f>
        <v>58</v>
      </c>
      <c r="H16" s="47"/>
    </row>
    <row r="17" spans="4:8" ht="13.5" thickBot="1">
      <c r="D17" s="44">
        <f>IF(R=1,INDEX(PR150,9,D),(IF(R=2,INDEX(PR300,9,D),INDEX(PR600,9,D))))</f>
        <v>165</v>
      </c>
      <c r="E17" s="44" t="str">
        <f>IF(R=1,INDEX(PR150,24,D),(IF(R=2,INDEX(PR300,24,D),INDEX(PR600,24,D))))</f>
        <v>-</v>
      </c>
      <c r="H17" s="44" t="str">
        <f>INDEX(FIT,5,D)</f>
        <v>-</v>
      </c>
    </row>
    <row r="18" spans="4:8" ht="16.5" customHeight="1" thickBot="1">
      <c r="D18" s="44">
        <f>IF(R=1,INDEX(PR150,10,D),(IF(R=2,INDEX(PR300,10,D),INDEX(PR600,10,D))))</f>
        <v>164</v>
      </c>
      <c r="E18" s="44" t="str">
        <f>IF(R=1,INDEX(PR150,25,D),(IF(R=2,INDEX(PR300,25,D),INDEX(PR600,25,D))))</f>
        <v>-</v>
      </c>
      <c r="H18" s="44" t="str">
        <f>INDEX(FIT,6,D)</f>
        <v>-</v>
      </c>
    </row>
    <row r="19" spans="4:5" ht="6" customHeight="1" thickBot="1">
      <c r="D19" s="47"/>
      <c r="E19" s="46"/>
    </row>
    <row r="20" spans="4:5" ht="15.75" customHeight="1" thickBot="1">
      <c r="D20" s="44">
        <f>IF(R=1,INDEX(PR150,11,D),(IF(R=2,INDEX(PR300,11,D),INDEX(PR600,11,D))))</f>
        <v>29</v>
      </c>
      <c r="E20" s="44" t="str">
        <f>IF(R=1,INDEX(PR150,26,D),(IF(R=2,INDEX(PR300,26,D),INDEX(PR600,26,D))))</f>
        <v>-</v>
      </c>
    </row>
    <row r="21" spans="4:5" ht="14.25" customHeight="1" thickBot="1">
      <c r="D21" s="44">
        <f>IF(R=1,INDEX(PR150,12,D),(IF(R=2,INDEX(PR300,12,D),INDEX(PR600,12,D))))</f>
        <v>67</v>
      </c>
      <c r="E21" s="44">
        <f>IF(R=1,INDEX(PR150,27,D),(IF(R=2,INDEX(PR300,27,D),INDEX(PR600,27,D))))</f>
        <v>80</v>
      </c>
    </row>
    <row r="22" spans="4:5" ht="6" customHeight="1" thickBot="1">
      <c r="D22" s="47"/>
      <c r="E22" s="46"/>
    </row>
    <row r="23" spans="4:10" ht="15.75" customHeight="1" thickBot="1">
      <c r="D23" s="44">
        <f>IF(R=1,INDEX(PR150,13,D),(IF(R=2,INDEX(PR300,13,D),INDEX(PR600,13,D))))</f>
        <v>21</v>
      </c>
      <c r="E23" s="44">
        <f>IF(R=1,INDEX(PR150,28,D),(IF(R=2,INDEX(PR300,28,D),INDEX(PR600,28,D))))</f>
        <v>80</v>
      </c>
      <c r="H23" s="256" t="s">
        <v>150</v>
      </c>
      <c r="I23" s="257"/>
      <c r="J23" s="258"/>
    </row>
    <row r="24" spans="4:10" ht="15" customHeight="1" thickBot="1">
      <c r="D24" s="44" t="str">
        <f>IF(R=1,INDEX(PR150,14,D),(IF(R=2,INDEX(PR300,14,D),INDEX(PR600,14,D))))</f>
        <v>-</v>
      </c>
      <c r="E24" s="44">
        <f>IF(R=1,INDEX(PR150,29,D),(IF(R=2,INDEX(PR300,29,D),INDEX(PR600,29,D))))</f>
        <v>90</v>
      </c>
      <c r="H24" s="101" t="s">
        <v>79</v>
      </c>
      <c r="I24" s="101" t="s">
        <v>79</v>
      </c>
      <c r="J24" s="101" t="s">
        <v>79</v>
      </c>
    </row>
    <row r="25" spans="4:5" ht="15.75" customHeight="1" thickBot="1">
      <c r="D25" s="44" t="str">
        <f>IF(R=1,INDEX(PR150,15,D),(IF(R=2,INDEX(PR300,15,D),INDEX(PR600,15,D))))</f>
        <v>-</v>
      </c>
      <c r="E25" s="45">
        <f>IF(R=1,INDEX(PR150,30,D),(IF(R=2,INDEX(PR300,30,D),INDEX(PR600,30,D))))</f>
        <v>100</v>
      </c>
    </row>
    <row r="26" spans="4:5" ht="18.75" customHeight="1" thickBot="1">
      <c r="D26" s="42" t="str">
        <f>IF(R=1,INDEX(PR150,16,D),(IF(R=2,INDEX(PR300,16,D),INDEX(PR600,16,D))))</f>
        <v>4 - 1/2"</v>
      </c>
      <c r="E26" s="1"/>
    </row>
    <row r="27" ht="13.5" thickBot="1"/>
    <row r="28" spans="4:11" ht="13.5" thickBot="1">
      <c r="D28" s="44">
        <f>INDEX(VALV,1,D)</f>
        <v>79</v>
      </c>
      <c r="H28" s="44">
        <f>INDEX(Acop3,1,D)</f>
        <v>13</v>
      </c>
      <c r="I28" s="1"/>
      <c r="J28" s="1"/>
      <c r="K28" s="1"/>
    </row>
    <row r="29" spans="4:11" ht="13.5" thickBot="1">
      <c r="D29" s="44">
        <f>INDEX(VALV,2,D)</f>
        <v>156</v>
      </c>
      <c r="E29" s="44">
        <f>IF(RS=1,INDEX(SS3000,1,D),INDEX(SS6000,1,D))</f>
        <v>33</v>
      </c>
      <c r="I29" s="1"/>
      <c r="J29" s="1"/>
      <c r="K29" s="1"/>
    </row>
    <row r="30" spans="9:11" ht="13.5" thickBot="1">
      <c r="I30" s="1"/>
      <c r="J30" s="1"/>
      <c r="K30" s="1"/>
    </row>
    <row r="31" spans="4:11" ht="13.5" thickBot="1">
      <c r="D31" s="44">
        <f>INDEX(VALV,3,D)</f>
        <v>70</v>
      </c>
      <c r="E31" s="44">
        <f>IF(RS=1,INDEX(SS3000,2,D),INDEX(SS6000,2,D))</f>
        <v>25</v>
      </c>
      <c r="H31" s="44">
        <f>IF(RS=1,INDEX(Acop3,2,D),INDEX(Acop6,1,D))</f>
        <v>13</v>
      </c>
      <c r="I31" s="1"/>
      <c r="J31" s="1"/>
      <c r="K31" s="1"/>
    </row>
    <row r="32" spans="4:11" ht="15.75" customHeight="1" thickBot="1">
      <c r="D32" s="44">
        <f>INDEX(VALV,4,D)</f>
        <v>168</v>
      </c>
      <c r="E32" s="44">
        <f>IF(RS=1,INDEX(SS3000,3,D),INDEX(SS6000,3,D))</f>
        <v>49</v>
      </c>
      <c r="I32" s="1"/>
      <c r="J32" s="1"/>
      <c r="K32" s="1"/>
    </row>
    <row r="33" spans="9:11" ht="6" customHeight="1" thickBot="1">
      <c r="I33" s="1"/>
      <c r="J33" s="1"/>
      <c r="K33" s="1"/>
    </row>
    <row r="34" spans="4:11" ht="13.5" thickBot="1">
      <c r="D34" s="44">
        <f>INDEX(VALV,5,D)</f>
        <v>92</v>
      </c>
      <c r="E34" s="44">
        <f>IF(RS=1,INDEX(SS3000,4,D),INDEX(SS6000,4,D))</f>
        <v>29</v>
      </c>
      <c r="H34" s="44">
        <f>INDEX(Acop3,3,D)</f>
        <v>74</v>
      </c>
      <c r="I34" s="1"/>
      <c r="J34" s="1"/>
      <c r="K34" s="1"/>
    </row>
    <row r="35" spans="9:11" ht="7.5" customHeight="1" thickBot="1">
      <c r="I35" s="1"/>
      <c r="J35" s="1"/>
      <c r="K35" s="1"/>
    </row>
    <row r="36" spans="4:11" ht="13.5" thickBot="1">
      <c r="D36" s="44">
        <f>INDEX(VALV,6,D)</f>
        <v>86</v>
      </c>
      <c r="E36" s="44">
        <f>IF(RS=1,INDEX(SS3000,5,D),INDEX(SS6000,5,D))</f>
        <v>48</v>
      </c>
      <c r="I36" s="1"/>
      <c r="J36" s="1"/>
      <c r="K36" s="1"/>
    </row>
    <row r="37" spans="9:11" ht="8.25" customHeight="1" thickBot="1">
      <c r="I37" s="1"/>
      <c r="J37" s="1"/>
      <c r="K37" s="1"/>
    </row>
    <row r="38" spans="4:11" ht="13.5" thickBot="1">
      <c r="D38" s="44">
        <f>INDEX(VALV,7,D)</f>
        <v>133</v>
      </c>
      <c r="H38" s="44">
        <f>IF(RS=1,INDEX(Acop3,4,D),INDEX(Acop6,2,D))</f>
        <v>74</v>
      </c>
      <c r="I38" s="1"/>
      <c r="J38" s="1"/>
      <c r="K38" s="1"/>
    </row>
    <row r="39" spans="9:11" ht="6.75" customHeight="1" thickBot="1">
      <c r="I39" s="1"/>
      <c r="J39" s="1"/>
      <c r="K39" s="1"/>
    </row>
    <row r="40" spans="4:11" ht="13.5" thickBot="1">
      <c r="D40" s="44">
        <f>INDEX(VALV,8,D)</f>
        <v>54</v>
      </c>
      <c r="E40" s="44">
        <f>IF(RS=1,INDEX(SS3000,6,D),INDEX(SS6000,6,D))</f>
        <v>29</v>
      </c>
      <c r="I40" s="1"/>
      <c r="J40" s="1"/>
      <c r="K40" s="1"/>
    </row>
    <row r="41" spans="9:11" ht="6.75" customHeight="1" thickBot="1">
      <c r="I41" s="1"/>
      <c r="J41" s="1"/>
      <c r="K41" s="1"/>
    </row>
    <row r="42" spans="4:11" ht="13.5" thickBot="1">
      <c r="D42" s="44">
        <f>INDEX(VALV,9,D)</f>
        <v>95</v>
      </c>
      <c r="E42" s="44">
        <f>IF(RS=1,INDEX(SS3000,7,D),INDEX(SS6000,7,D))</f>
        <v>22</v>
      </c>
      <c r="H42" s="44">
        <f>IF(RS=1,INDEX(Acop3,5,D),INDEX(Acop6,3,D))</f>
        <v>74</v>
      </c>
      <c r="I42" s="1"/>
      <c r="J42" s="1"/>
      <c r="K42" s="1"/>
    </row>
    <row r="43" spans="9:11" ht="6.75" customHeight="1" thickBot="1">
      <c r="I43" s="1"/>
      <c r="J43" s="1"/>
      <c r="K43" s="1"/>
    </row>
    <row r="44" spans="4:11" ht="13.5" thickBot="1">
      <c r="D44" s="44">
        <f>INDEX(VALV,10,D)</f>
        <v>56</v>
      </c>
      <c r="E44" s="44">
        <f>IF(RS=1,INDEX(SS3000,8,D),INDEX(SS6000,8,D))</f>
        <v>49</v>
      </c>
      <c r="I44" s="1"/>
      <c r="J44" s="1"/>
      <c r="K44" s="1"/>
    </row>
    <row r="45" spans="4:11" ht="16.5" customHeight="1" thickBot="1">
      <c r="D45" s="44">
        <f>INDEX(VALV,11,D)</f>
        <v>57</v>
      </c>
      <c r="E45" s="44">
        <f>IF(RS=1,INDEX(SS3000,9,D),INDEX(SS6000,9,D))</f>
        <v>32</v>
      </c>
      <c r="I45" s="1"/>
      <c r="J45" s="1"/>
      <c r="K45" s="1"/>
    </row>
    <row r="46" spans="5:11" ht="13.5" thickBot="1">
      <c r="E46" s="44">
        <f>IF(RS=1,INDEX(SS3000,10,D),INDEX(SS6000,10,D))</f>
        <v>35</v>
      </c>
      <c r="H46" s="44">
        <f>INDEX(Acop3,6,D)</f>
        <v>70</v>
      </c>
      <c r="I46" s="1"/>
      <c r="J46" s="1"/>
      <c r="K46" s="1"/>
    </row>
    <row r="47" spans="9:11" ht="12.75">
      <c r="I47" s="1"/>
      <c r="J47" s="1"/>
      <c r="K47" s="1"/>
    </row>
    <row r="49" spans="2:10" ht="12.75">
      <c r="B49" s="276" t="s">
        <v>122</v>
      </c>
      <c r="C49" s="277"/>
      <c r="E49" s="46" t="s">
        <v>151</v>
      </c>
      <c r="F49" s="46"/>
      <c r="H49" s="280" t="s">
        <v>152</v>
      </c>
      <c r="I49" s="280"/>
      <c r="J49" s="280"/>
    </row>
    <row r="50" spans="3:5" ht="15" customHeight="1" thickBot="1">
      <c r="C50" s="47"/>
      <c r="E50" t="s">
        <v>123</v>
      </c>
    </row>
    <row r="51" spans="1:2" ht="13.5" thickBot="1">
      <c r="A51" s="102" t="s">
        <v>120</v>
      </c>
      <c r="B51" s="44" t="str">
        <f>IF(R=1,INDEX(CV,1,D),(IF(R=2,INDEX(CV,3,D),INDEX(CV,5,D))))</f>
        <v>-</v>
      </c>
    </row>
    <row r="52" spans="1:2" ht="13.5" thickBot="1">
      <c r="A52" s="102"/>
      <c r="B52" s="47"/>
    </row>
    <row r="53" spans="1:5" ht="13.5" thickBot="1">
      <c r="A53" s="102" t="s">
        <v>121</v>
      </c>
      <c r="B53" s="44" t="str">
        <f>IF(R=1,INDEX(CV,2,D),(IF(R=2,INDEX(CV,4,D),INDEX(CV,6,D))))</f>
        <v>-</v>
      </c>
      <c r="E53" s="117" t="s">
        <v>141</v>
      </c>
    </row>
    <row r="54" spans="5:11" ht="13.5" thickBot="1">
      <c r="E54" s="44" t="str">
        <f>INDEX(RELIEF,REL,1)</f>
        <v>3"</v>
      </c>
      <c r="J54" s="281" t="s">
        <v>159</v>
      </c>
      <c r="K54" s="282"/>
    </row>
    <row r="55" spans="1:11" ht="13.5" thickBot="1">
      <c r="A55" s="102" t="s">
        <v>106</v>
      </c>
      <c r="B55" s="44" t="str">
        <f>INDEX(CV,7,D)</f>
        <v>-</v>
      </c>
      <c r="E55" s="117" t="s">
        <v>142</v>
      </c>
      <c r="I55" s="119" t="s">
        <v>156</v>
      </c>
      <c r="J55" s="120" t="s">
        <v>157</v>
      </c>
      <c r="K55" s="121" t="s">
        <v>158</v>
      </c>
    </row>
    <row r="56" spans="1:11" ht="13.5" thickBot="1">
      <c r="A56" s="102"/>
      <c r="B56" s="47"/>
      <c r="E56" s="44" t="str">
        <f>INDEX(RELIEF,REL,2)</f>
        <v>4"</v>
      </c>
      <c r="H56" s="122" t="s">
        <v>153</v>
      </c>
      <c r="I56" s="44">
        <f>IF(R=1,INDEX(deb150,1,1),(IF(R=2,INDEX(deb300,1,1),INDEX(deb600,1,1))))</f>
        <v>4</v>
      </c>
      <c r="J56" s="44">
        <f>IF(R=1,INDEX(deb150,1,2),(IF(R=2,INDEX(deb300,1,2),INDEX(deb600,1,2))))</f>
        <v>5</v>
      </c>
      <c r="K56" s="44">
        <f>IF(R=1,INDEX(deb150,1,3),(IF(R=2,INDEX(deb300,1,3),INDEX(deb600,1,3))))</f>
        <v>5</v>
      </c>
    </row>
    <row r="57" spans="1:11" ht="13.5" thickBot="1">
      <c r="A57" s="102" t="s">
        <v>108</v>
      </c>
      <c r="B57" s="44" t="str">
        <f>INDEX(CV,8,D)</f>
        <v>-</v>
      </c>
      <c r="D57" s="102" t="s">
        <v>105</v>
      </c>
      <c r="E57" s="44">
        <f>INDEX(RELIEF,REL,3)</f>
        <v>156</v>
      </c>
      <c r="H57" s="123" t="s">
        <v>154</v>
      </c>
      <c r="I57" s="44">
        <f>IF(R=1,INDEX(deb150,2,1),(IF(R=2,INDEX(deb300,2,1),INDEX(deb600,2,1))))</f>
        <v>38</v>
      </c>
      <c r="J57" s="44">
        <f>IF(R=1,INDEX(deb150,2,2),(IF(R=2,INDEX(deb300,2,2),INDEX(deb600,2,2))))</f>
        <v>57</v>
      </c>
      <c r="K57" s="44" t="str">
        <f>IF(R=1,INDEX(deb150,2,3),(IF(R=2,INDEX(deb300,2,3),INDEX(deb600,2,3))))</f>
        <v>-</v>
      </c>
    </row>
    <row r="58" spans="1:11" ht="13.5" thickBot="1">
      <c r="A58" s="102"/>
      <c r="B58" s="47"/>
      <c r="D58" s="102" t="s">
        <v>106</v>
      </c>
      <c r="E58" s="44">
        <f>INDEX(RELIEF,REL,4)</f>
        <v>162</v>
      </c>
      <c r="H58" s="124" t="s">
        <v>155</v>
      </c>
      <c r="I58" s="44">
        <f>IF(R=1,INDEX(deb150,3,1),(IF(R=2,INDEX(deb300,3,1),INDEX(deb600,3,1))))</f>
        <v>2</v>
      </c>
      <c r="J58" s="44">
        <f>IF(R=1,INDEX(deb150,3,2),(IF(R=2,INDEX(deb300,3,2),INDEX(deb600,3,2))))</f>
        <v>5</v>
      </c>
      <c r="K58" s="44">
        <f>IF(R=1,INDEX(deb150,3,3),(IF(R=2,INDEX(deb300,3,3),INDEX(deb600,3,3))))</f>
        <v>5</v>
      </c>
    </row>
    <row r="59" spans="1:5" ht="13.5" thickBot="1">
      <c r="A59" s="102" t="s">
        <v>107</v>
      </c>
      <c r="B59" s="44" t="str">
        <f>INDEX(CV,9,D)</f>
        <v>-</v>
      </c>
      <c r="D59" s="102" t="s">
        <v>108</v>
      </c>
      <c r="E59" s="44">
        <f>INDEX(RELIEF,REL,5)</f>
        <v>467</v>
      </c>
    </row>
    <row r="62" spans="7:11" ht="12.75">
      <c r="G62" s="194" t="str">
        <f>INDEX(diam,D)</f>
        <v>1/2"</v>
      </c>
      <c r="I62" s="194" t="str">
        <f>INDEX(diam,D)</f>
        <v>1/2"</v>
      </c>
      <c r="K62" s="194" t="str">
        <f>INDEX(diam,D)</f>
        <v>1/2"</v>
      </c>
    </row>
    <row r="63" spans="7:11" ht="13.5" thickBot="1">
      <c r="G63" s="47" t="s">
        <v>194</v>
      </c>
      <c r="I63" s="47" t="s">
        <v>194</v>
      </c>
      <c r="K63" s="47" t="s">
        <v>194</v>
      </c>
    </row>
    <row r="64" spans="7:11" ht="16.5" customHeight="1" thickBot="1">
      <c r="G64" s="100"/>
      <c r="K64" s="100"/>
    </row>
    <row r="65" ht="13.5" thickBot="1"/>
    <row r="66" spans="7:11" ht="14.25" customHeight="1" thickBot="1">
      <c r="G66" s="44">
        <f>INDEX(D3RANGO,D3G)</f>
        <v>200</v>
      </c>
      <c r="I66" s="44">
        <f>INDEX(D1RANGO,D1G)</f>
        <v>250</v>
      </c>
      <c r="K66" s="44">
        <f>INDEX(D2RANGO,D2G)</f>
        <v>300</v>
      </c>
    </row>
    <row r="67" ht="15.75" customHeight="1"/>
    <row r="68" ht="15.75" customHeight="1"/>
    <row r="75" ht="12.75">
      <c r="F75" s="69"/>
    </row>
    <row r="76" ht="12.75">
      <c r="F76" s="69"/>
    </row>
    <row r="77" ht="12.75">
      <c r="F77" s="69"/>
    </row>
    <row r="78" ht="12.75">
      <c r="F78" s="69"/>
    </row>
    <row r="79" ht="12.75">
      <c r="F79" s="69"/>
    </row>
    <row r="80" ht="12.75">
      <c r="F80" s="69"/>
    </row>
    <row r="81" ht="12.75">
      <c r="F81" s="69"/>
    </row>
    <row r="82" ht="12.75">
      <c r="F82" s="69"/>
    </row>
    <row r="89" spans="14:79" ht="12.75">
      <c r="N89" s="139"/>
      <c r="O89" s="139"/>
      <c r="P89" s="139"/>
      <c r="Q89" s="139"/>
      <c r="R89" s="139"/>
      <c r="S89" s="139"/>
      <c r="T89" s="139"/>
      <c r="U89" s="139"/>
      <c r="V89" s="139"/>
      <c r="W89" s="139"/>
      <c r="X89" s="139"/>
      <c r="Y89" s="139"/>
      <c r="Z89" s="139"/>
      <c r="AA89" s="139"/>
      <c r="AB89" s="139"/>
      <c r="AC89" s="139"/>
      <c r="AD89" s="139"/>
      <c r="AE89" s="139"/>
      <c r="AF89" s="139"/>
      <c r="AG89" s="139"/>
      <c r="AH89" s="139"/>
      <c r="AI89" s="139"/>
      <c r="AJ89" s="139"/>
      <c r="AK89" s="139"/>
      <c r="AL89" s="139"/>
      <c r="AM89" s="139"/>
      <c r="AN89" s="139"/>
      <c r="AO89" s="139"/>
      <c r="AP89" s="139"/>
      <c r="AQ89" s="139"/>
      <c r="AR89" s="139"/>
      <c r="AS89" s="139"/>
      <c r="AT89" s="139"/>
      <c r="AU89" s="139"/>
      <c r="AV89" s="139"/>
      <c r="AW89" s="139"/>
      <c r="AX89" s="139"/>
      <c r="AY89" s="139"/>
      <c r="AZ89" s="139"/>
      <c r="BA89" s="139"/>
      <c r="BB89" s="139"/>
      <c r="BC89" s="139"/>
      <c r="BD89" s="139"/>
      <c r="BE89" s="139"/>
      <c r="BF89" s="139"/>
      <c r="BG89" s="139"/>
      <c r="BH89" s="139"/>
      <c r="BI89" s="139"/>
      <c r="BJ89" s="139"/>
      <c r="BK89" s="139"/>
      <c r="BL89" s="139"/>
      <c r="BM89" s="139"/>
      <c r="BN89" s="139"/>
      <c r="BO89" s="139"/>
      <c r="BP89" s="139"/>
      <c r="BQ89" s="139"/>
      <c r="BR89" s="139"/>
      <c r="BS89" s="139"/>
      <c r="BT89" s="139"/>
      <c r="BU89" s="139"/>
      <c r="BV89" s="139"/>
      <c r="BW89" s="139"/>
      <c r="BX89" s="139"/>
      <c r="BY89" s="139"/>
      <c r="BZ89" s="139"/>
      <c r="CA89" s="139"/>
    </row>
    <row r="90" spans="14:79" ht="12.75">
      <c r="N90" s="139"/>
      <c r="O90" s="139"/>
      <c r="P90" s="139"/>
      <c r="Q90" s="139"/>
      <c r="R90" s="139"/>
      <c r="S90" s="139"/>
      <c r="T90" s="139"/>
      <c r="U90" s="139"/>
      <c r="V90" s="139"/>
      <c r="W90" s="139"/>
      <c r="X90" s="139"/>
      <c r="Y90" s="139"/>
      <c r="Z90" s="139"/>
      <c r="AA90" s="139"/>
      <c r="AB90" s="139"/>
      <c r="AC90" s="139"/>
      <c r="AD90" s="139"/>
      <c r="AE90" s="139"/>
      <c r="AF90" s="139"/>
      <c r="AG90" s="139"/>
      <c r="AH90" s="139"/>
      <c r="AI90" s="139"/>
      <c r="AJ90" s="139"/>
      <c r="AK90" s="139"/>
      <c r="AL90" s="139"/>
      <c r="AM90" s="139"/>
      <c r="AN90" s="139"/>
      <c r="AO90" s="139"/>
      <c r="AP90" s="139"/>
      <c r="AQ90" s="139"/>
      <c r="AR90" s="139"/>
      <c r="AS90" s="139"/>
      <c r="AT90" s="139"/>
      <c r="AU90" s="139"/>
      <c r="AV90" s="139"/>
      <c r="AW90" s="139"/>
      <c r="AX90" s="139"/>
      <c r="AY90" s="139"/>
      <c r="AZ90" s="139"/>
      <c r="BA90" s="139"/>
      <c r="BB90" s="139"/>
      <c r="BC90" s="139"/>
      <c r="BD90" s="139"/>
      <c r="BE90" s="139"/>
      <c r="BF90" s="139"/>
      <c r="BG90" s="139"/>
      <c r="BH90" s="139"/>
      <c r="BI90" s="139"/>
      <c r="BJ90" s="139"/>
      <c r="BK90" s="139"/>
      <c r="BL90" s="139"/>
      <c r="BM90" s="139"/>
      <c r="BN90" s="139"/>
      <c r="BO90" s="139"/>
      <c r="BP90" s="139"/>
      <c r="BQ90" s="139"/>
      <c r="BR90" s="139"/>
      <c r="BS90" s="139"/>
      <c r="BT90" s="139"/>
      <c r="BU90" s="139"/>
      <c r="BV90" s="139"/>
      <c r="BW90" s="139"/>
      <c r="BX90" s="139"/>
      <c r="BY90" s="139"/>
      <c r="BZ90" s="139"/>
      <c r="CA90" s="139"/>
    </row>
    <row r="91" spans="14:79" ht="12.75">
      <c r="N91" s="139"/>
      <c r="O91" s="139"/>
      <c r="P91" s="139"/>
      <c r="Q91" s="139"/>
      <c r="R91" s="139"/>
      <c r="S91" s="139"/>
      <c r="T91" s="139"/>
      <c r="U91" s="139"/>
      <c r="V91" s="139"/>
      <c r="W91" s="139"/>
      <c r="X91" s="139"/>
      <c r="Y91" s="139"/>
      <c r="Z91" s="139"/>
      <c r="AA91" s="139"/>
      <c r="AB91" s="139"/>
      <c r="AC91" s="139"/>
      <c r="AD91" s="139"/>
      <c r="AE91" s="139"/>
      <c r="AF91" s="139"/>
      <c r="AG91" s="139"/>
      <c r="AH91" s="139"/>
      <c r="AI91" s="139"/>
      <c r="AJ91" s="139"/>
      <c r="AK91" s="139"/>
      <c r="AL91" s="139"/>
      <c r="AM91" s="139"/>
      <c r="AN91" s="139"/>
      <c r="AO91" s="139"/>
      <c r="AP91" s="139"/>
      <c r="AQ91" s="139"/>
      <c r="AR91" s="139"/>
      <c r="AS91" s="139"/>
      <c r="AT91" s="139"/>
      <c r="AU91" s="139"/>
      <c r="AV91" s="139"/>
      <c r="AW91" s="139"/>
      <c r="AX91" s="139"/>
      <c r="AY91" s="139"/>
      <c r="AZ91" s="139"/>
      <c r="BA91" s="139"/>
      <c r="BB91" s="139"/>
      <c r="BC91" s="139"/>
      <c r="BD91" s="139"/>
      <c r="BE91" s="139"/>
      <c r="BF91" s="139"/>
      <c r="BG91" s="139"/>
      <c r="BH91" s="139"/>
      <c r="BI91" s="139"/>
      <c r="BJ91" s="139"/>
      <c r="BK91" s="139"/>
      <c r="BL91" s="139"/>
      <c r="BM91" s="139"/>
      <c r="BN91" s="139"/>
      <c r="BO91" s="139"/>
      <c r="BP91" s="139"/>
      <c r="BQ91" s="139"/>
      <c r="BR91" s="139"/>
      <c r="BS91" s="139"/>
      <c r="BT91" s="139"/>
      <c r="BU91" s="139"/>
      <c r="BV91" s="139"/>
      <c r="BW91" s="139"/>
      <c r="BX91" s="139"/>
      <c r="BY91" s="139"/>
      <c r="BZ91" s="139"/>
      <c r="CA91" s="139"/>
    </row>
    <row r="92" ht="12.75">
      <c r="N92" s="139"/>
    </row>
    <row r="93" spans="14:19" ht="16.5" thickBot="1">
      <c r="N93" s="139"/>
      <c r="O93" s="268" t="s">
        <v>22</v>
      </c>
      <c r="P93" s="268"/>
      <c r="S93" s="5" t="s">
        <v>19</v>
      </c>
    </row>
    <row r="94" spans="14:79" ht="13.5" thickBot="1">
      <c r="N94" s="139"/>
      <c r="O94" t="s">
        <v>23</v>
      </c>
      <c r="P94" s="166">
        <v>3</v>
      </c>
      <c r="Q94" s="177" t="s">
        <v>182</v>
      </c>
      <c r="R94" s="178" t="s">
        <v>183</v>
      </c>
      <c r="S94" s="6" t="s">
        <v>0</v>
      </c>
      <c r="T94" s="7" t="s">
        <v>1</v>
      </c>
      <c r="U94" s="7">
        <v>1</v>
      </c>
      <c r="V94" s="7" t="s">
        <v>2</v>
      </c>
      <c r="W94" s="7" t="s">
        <v>3</v>
      </c>
      <c r="X94" s="7" t="s">
        <v>4</v>
      </c>
      <c r="Y94" s="7" t="s">
        <v>5</v>
      </c>
      <c r="Z94" s="7" t="s">
        <v>6</v>
      </c>
      <c r="AA94" s="7" t="s">
        <v>7</v>
      </c>
      <c r="AB94" s="7" t="s">
        <v>8</v>
      </c>
      <c r="AC94" s="7" t="s">
        <v>9</v>
      </c>
      <c r="AD94" s="7" t="s">
        <v>10</v>
      </c>
      <c r="AE94" s="7" t="s">
        <v>11</v>
      </c>
      <c r="AF94" s="7" t="s">
        <v>12</v>
      </c>
      <c r="AG94" s="7" t="s">
        <v>13</v>
      </c>
      <c r="AH94" s="7" t="s">
        <v>14</v>
      </c>
      <c r="AI94" s="7" t="s">
        <v>15</v>
      </c>
      <c r="AJ94" s="7" t="s">
        <v>16</v>
      </c>
      <c r="AK94" s="7" t="s">
        <v>17</v>
      </c>
      <c r="AL94" s="6" t="s">
        <v>184</v>
      </c>
      <c r="AM94" s="6" t="s">
        <v>185</v>
      </c>
      <c r="AN94" s="6" t="s">
        <v>0</v>
      </c>
      <c r="AO94" s="7" t="s">
        <v>1</v>
      </c>
      <c r="AP94" s="7">
        <v>1</v>
      </c>
      <c r="AQ94" s="7" t="s">
        <v>2</v>
      </c>
      <c r="AR94" s="7" t="s">
        <v>3</v>
      </c>
      <c r="AS94" s="7" t="s">
        <v>4</v>
      </c>
      <c r="AT94" s="7" t="s">
        <v>5</v>
      </c>
      <c r="AU94" s="7" t="s">
        <v>6</v>
      </c>
      <c r="AV94" s="7" t="s">
        <v>7</v>
      </c>
      <c r="AW94" s="7" t="s">
        <v>8</v>
      </c>
      <c r="AX94" s="7" t="s">
        <v>9</v>
      </c>
      <c r="AY94" s="7" t="s">
        <v>10</v>
      </c>
      <c r="AZ94" s="7" t="s">
        <v>11</v>
      </c>
      <c r="BA94" s="7" t="s">
        <v>12</v>
      </c>
      <c r="BB94" s="7" t="s">
        <v>13</v>
      </c>
      <c r="BC94" s="7" t="s">
        <v>14</v>
      </c>
      <c r="BD94" s="7" t="s">
        <v>15</v>
      </c>
      <c r="BE94" s="7" t="s">
        <v>16</v>
      </c>
      <c r="BF94" s="7" t="s">
        <v>17</v>
      </c>
      <c r="BG94" s="6" t="s">
        <v>184</v>
      </c>
      <c r="BH94" s="6" t="s">
        <v>185</v>
      </c>
      <c r="BI94" s="6" t="s">
        <v>0</v>
      </c>
      <c r="BJ94" s="7" t="s">
        <v>1</v>
      </c>
      <c r="BK94" s="7">
        <v>1</v>
      </c>
      <c r="BL94" s="7" t="s">
        <v>2</v>
      </c>
      <c r="BM94" s="7" t="s">
        <v>3</v>
      </c>
      <c r="BN94" s="7" t="s">
        <v>4</v>
      </c>
      <c r="BO94" s="7" t="s">
        <v>5</v>
      </c>
      <c r="BP94" s="7" t="s">
        <v>6</v>
      </c>
      <c r="BQ94" s="7" t="s">
        <v>7</v>
      </c>
      <c r="BR94" s="7" t="s">
        <v>8</v>
      </c>
      <c r="BS94" s="7" t="s">
        <v>9</v>
      </c>
      <c r="BT94" s="7" t="s">
        <v>10</v>
      </c>
      <c r="BU94" s="7" t="s">
        <v>11</v>
      </c>
      <c r="BV94" s="7" t="s">
        <v>12</v>
      </c>
      <c r="BW94" s="7" t="s">
        <v>13</v>
      </c>
      <c r="BX94" s="7" t="s">
        <v>14</v>
      </c>
      <c r="BY94" s="7" t="s">
        <v>15</v>
      </c>
      <c r="BZ94" s="7" t="s">
        <v>16</v>
      </c>
      <c r="CA94" s="7" t="s">
        <v>17</v>
      </c>
    </row>
    <row r="95" spans="14:79" ht="14.25" thickBot="1" thickTop="1">
      <c r="N95" s="139"/>
      <c r="Q95" s="171" t="s">
        <v>18</v>
      </c>
      <c r="R95" s="86" t="s">
        <v>18</v>
      </c>
      <c r="S95" s="174" t="s">
        <v>18</v>
      </c>
      <c r="T95" s="11" t="s">
        <v>18</v>
      </c>
      <c r="U95" s="11" t="s">
        <v>18</v>
      </c>
      <c r="V95" s="11" t="s">
        <v>18</v>
      </c>
      <c r="W95" s="11" t="s">
        <v>18</v>
      </c>
      <c r="X95" s="11">
        <v>400</v>
      </c>
      <c r="Y95" s="11">
        <v>419</v>
      </c>
      <c r="Z95" s="11">
        <v>527</v>
      </c>
      <c r="AA95" s="11">
        <v>654</v>
      </c>
      <c r="AB95" s="11">
        <v>775</v>
      </c>
      <c r="AC95" s="11">
        <v>895</v>
      </c>
      <c r="AD95" s="11">
        <v>1118</v>
      </c>
      <c r="AE95" s="11">
        <v>1334</v>
      </c>
      <c r="AF95" s="11">
        <v>1537</v>
      </c>
      <c r="AG95" s="11">
        <v>1784</v>
      </c>
      <c r="AH95" s="11">
        <v>2026</v>
      </c>
      <c r="AI95" s="11">
        <v>2261</v>
      </c>
      <c r="AJ95" s="11">
        <v>2470</v>
      </c>
      <c r="AK95" s="12">
        <v>2864</v>
      </c>
      <c r="AL95" s="20" t="s">
        <v>18</v>
      </c>
      <c r="AM95" s="20" t="s">
        <v>18</v>
      </c>
      <c r="AN95" s="20" t="s">
        <v>18</v>
      </c>
      <c r="AO95" s="21" t="s">
        <v>18</v>
      </c>
      <c r="AP95" s="21" t="s">
        <v>18</v>
      </c>
      <c r="AQ95" s="21" t="s">
        <v>18</v>
      </c>
      <c r="AR95" s="21">
        <v>425</v>
      </c>
      <c r="AS95" s="21">
        <v>457</v>
      </c>
      <c r="AT95" s="21">
        <v>483</v>
      </c>
      <c r="AU95" s="21">
        <v>591</v>
      </c>
      <c r="AV95" s="21">
        <v>718</v>
      </c>
      <c r="AW95" s="21">
        <v>851</v>
      </c>
      <c r="AX95" s="21">
        <v>978</v>
      </c>
      <c r="AY95" s="21">
        <v>1194</v>
      </c>
      <c r="AZ95" s="21">
        <v>1435</v>
      </c>
      <c r="BA95" s="21">
        <v>1632</v>
      </c>
      <c r="BB95" s="21">
        <v>1911</v>
      </c>
      <c r="BC95" s="21">
        <v>2057</v>
      </c>
      <c r="BD95" s="21">
        <v>2324</v>
      </c>
      <c r="BE95" s="21">
        <v>2534</v>
      </c>
      <c r="BF95" s="22">
        <v>3061</v>
      </c>
      <c r="BG95" s="32" t="s">
        <v>18</v>
      </c>
      <c r="BH95" s="32" t="s">
        <v>18</v>
      </c>
      <c r="BI95" s="32">
        <v>178</v>
      </c>
      <c r="BJ95" s="33">
        <v>213</v>
      </c>
      <c r="BK95" s="33">
        <v>260</v>
      </c>
      <c r="BL95" s="33">
        <v>270</v>
      </c>
      <c r="BM95" s="33">
        <v>318</v>
      </c>
      <c r="BN95" s="33">
        <v>464</v>
      </c>
      <c r="BO95" s="33">
        <v>565</v>
      </c>
      <c r="BP95" s="33">
        <v>654</v>
      </c>
      <c r="BQ95" s="33">
        <v>800</v>
      </c>
      <c r="BR95" s="33">
        <v>933</v>
      </c>
      <c r="BS95" s="33">
        <v>1086</v>
      </c>
      <c r="BT95" s="33">
        <v>1327</v>
      </c>
      <c r="BU95" s="33">
        <v>1581</v>
      </c>
      <c r="BV95" s="33">
        <v>1778</v>
      </c>
      <c r="BW95" s="33">
        <v>1962</v>
      </c>
      <c r="BX95" s="33">
        <v>2127</v>
      </c>
      <c r="BY95" s="33">
        <v>2381</v>
      </c>
      <c r="BZ95" s="33">
        <v>2654</v>
      </c>
      <c r="CA95" s="34">
        <v>3200</v>
      </c>
    </row>
    <row r="96" spans="14:79" ht="13.5" thickBot="1">
      <c r="N96" s="139"/>
      <c r="O96" t="s">
        <v>21</v>
      </c>
      <c r="P96" s="167">
        <v>3</v>
      </c>
      <c r="Q96" s="172" t="s">
        <v>18</v>
      </c>
      <c r="R96" s="4" t="s">
        <v>18</v>
      </c>
      <c r="S96" s="175">
        <v>108</v>
      </c>
      <c r="T96" s="4">
        <v>117</v>
      </c>
      <c r="U96" s="4">
        <v>127</v>
      </c>
      <c r="V96" s="4">
        <v>140</v>
      </c>
      <c r="W96" s="4">
        <v>165</v>
      </c>
      <c r="X96" s="4">
        <v>178</v>
      </c>
      <c r="Y96" s="4">
        <v>191</v>
      </c>
      <c r="Z96" s="4">
        <v>203</v>
      </c>
      <c r="AA96" s="4">
        <v>229</v>
      </c>
      <c r="AB96" s="4">
        <v>254</v>
      </c>
      <c r="AC96" s="4">
        <v>267</v>
      </c>
      <c r="AD96" s="4">
        <v>292</v>
      </c>
      <c r="AE96" s="4">
        <v>330</v>
      </c>
      <c r="AF96" s="4">
        <v>356</v>
      </c>
      <c r="AG96" s="4">
        <v>381</v>
      </c>
      <c r="AH96" s="4">
        <v>406</v>
      </c>
      <c r="AI96" s="4">
        <v>462</v>
      </c>
      <c r="AJ96" s="4">
        <v>457</v>
      </c>
      <c r="AK96" s="14">
        <v>508</v>
      </c>
      <c r="AL96" s="23" t="s">
        <v>18</v>
      </c>
      <c r="AM96" s="23" t="s">
        <v>18</v>
      </c>
      <c r="AN96" s="23" t="s">
        <v>18</v>
      </c>
      <c r="AO96" s="9" t="s">
        <v>18</v>
      </c>
      <c r="AP96" s="9" t="s">
        <v>18</v>
      </c>
      <c r="AQ96" s="9" t="s">
        <v>18</v>
      </c>
      <c r="AR96" s="9">
        <v>191</v>
      </c>
      <c r="AS96" s="9">
        <v>216</v>
      </c>
      <c r="AT96" s="9">
        <v>241</v>
      </c>
      <c r="AU96" s="9">
        <v>283</v>
      </c>
      <c r="AV96" s="9">
        <v>305</v>
      </c>
      <c r="AW96" s="9">
        <v>381</v>
      </c>
      <c r="AX96" s="9">
        <v>403</v>
      </c>
      <c r="AY96" s="9">
        <v>419</v>
      </c>
      <c r="AZ96" s="9">
        <v>457</v>
      </c>
      <c r="BA96" s="9">
        <v>502</v>
      </c>
      <c r="BB96" s="9">
        <v>762</v>
      </c>
      <c r="BC96" s="9">
        <v>838</v>
      </c>
      <c r="BD96" s="9">
        <v>914</v>
      </c>
      <c r="BE96" s="9">
        <v>991</v>
      </c>
      <c r="BF96" s="24">
        <v>168</v>
      </c>
      <c r="BG96" s="35" t="s">
        <v>18</v>
      </c>
      <c r="BH96" s="35" t="s">
        <v>18</v>
      </c>
      <c r="BI96" s="35">
        <v>165</v>
      </c>
      <c r="BJ96" s="30">
        <v>191</v>
      </c>
      <c r="BK96" s="30">
        <v>216</v>
      </c>
      <c r="BL96" s="30">
        <v>229</v>
      </c>
      <c r="BM96" s="30">
        <v>241</v>
      </c>
      <c r="BN96" s="30">
        <v>292</v>
      </c>
      <c r="BO96" s="30">
        <v>330</v>
      </c>
      <c r="BP96" s="30">
        <v>356</v>
      </c>
      <c r="BQ96" s="30">
        <v>432</v>
      </c>
      <c r="BR96" s="30">
        <v>508</v>
      </c>
      <c r="BS96" s="30">
        <v>559</v>
      </c>
      <c r="BT96" s="30">
        <v>660</v>
      </c>
      <c r="BU96" s="30">
        <v>787</v>
      </c>
      <c r="BV96" s="30">
        <v>838</v>
      </c>
      <c r="BW96" s="30">
        <v>889</v>
      </c>
      <c r="BX96" s="30">
        <v>991</v>
      </c>
      <c r="BY96" s="30">
        <v>1092</v>
      </c>
      <c r="BZ96" s="30">
        <v>1194</v>
      </c>
      <c r="CA96" s="36">
        <v>1397</v>
      </c>
    </row>
    <row r="97" spans="14:79" ht="12.75">
      <c r="N97" s="139"/>
      <c r="Q97" s="172" t="s">
        <v>18</v>
      </c>
      <c r="R97" s="4" t="s">
        <v>18</v>
      </c>
      <c r="S97" s="175">
        <v>119</v>
      </c>
      <c r="T97" s="4">
        <v>130</v>
      </c>
      <c r="U97" s="4">
        <v>140</v>
      </c>
      <c r="V97" s="4">
        <v>152</v>
      </c>
      <c r="W97" s="4">
        <v>178</v>
      </c>
      <c r="X97" s="4">
        <v>191</v>
      </c>
      <c r="Y97" s="4">
        <v>203</v>
      </c>
      <c r="Z97" s="4">
        <v>216</v>
      </c>
      <c r="AA97" s="4">
        <v>241</v>
      </c>
      <c r="AB97" s="4">
        <v>267</v>
      </c>
      <c r="AC97" s="4">
        <v>279</v>
      </c>
      <c r="AD97" s="4">
        <v>305</v>
      </c>
      <c r="AE97" s="4">
        <v>343</v>
      </c>
      <c r="AF97" s="4">
        <v>368</v>
      </c>
      <c r="AG97" s="4">
        <v>394</v>
      </c>
      <c r="AH97" s="4">
        <v>479</v>
      </c>
      <c r="AI97" s="4">
        <v>445</v>
      </c>
      <c r="AJ97" s="4">
        <v>470</v>
      </c>
      <c r="AK97" s="14">
        <v>521</v>
      </c>
      <c r="AL97" s="23" t="s">
        <v>18</v>
      </c>
      <c r="AM97" s="23" t="s">
        <v>18</v>
      </c>
      <c r="AN97" s="23" t="s">
        <v>18</v>
      </c>
      <c r="AO97" s="9" t="s">
        <v>18</v>
      </c>
      <c r="AP97" s="9" t="s">
        <v>18</v>
      </c>
      <c r="AQ97" s="9" t="s">
        <v>18</v>
      </c>
      <c r="AR97" s="9">
        <v>203</v>
      </c>
      <c r="AS97" s="9">
        <v>232</v>
      </c>
      <c r="AT97" s="9">
        <v>257</v>
      </c>
      <c r="AU97" s="9">
        <v>298</v>
      </c>
      <c r="AV97" s="9">
        <v>321</v>
      </c>
      <c r="AW97" s="9">
        <v>397</v>
      </c>
      <c r="AX97" s="9">
        <v>419</v>
      </c>
      <c r="AY97" s="9">
        <v>435</v>
      </c>
      <c r="AZ97" s="9">
        <v>473</v>
      </c>
      <c r="BA97" s="9">
        <v>518</v>
      </c>
      <c r="BB97" s="9">
        <v>778</v>
      </c>
      <c r="BC97" s="9">
        <v>854</v>
      </c>
      <c r="BD97" s="9">
        <v>930</v>
      </c>
      <c r="BE97" s="9">
        <v>1010</v>
      </c>
      <c r="BF97" s="24">
        <v>914</v>
      </c>
      <c r="BG97" s="35" t="s">
        <v>18</v>
      </c>
      <c r="BH97" s="35" t="s">
        <v>18</v>
      </c>
      <c r="BI97" s="35">
        <v>164</v>
      </c>
      <c r="BJ97" s="30">
        <v>191</v>
      </c>
      <c r="BK97" s="30">
        <v>216</v>
      </c>
      <c r="BL97" s="30">
        <v>229</v>
      </c>
      <c r="BM97" s="30">
        <v>241</v>
      </c>
      <c r="BN97" s="30">
        <v>295</v>
      </c>
      <c r="BO97" s="30">
        <v>333</v>
      </c>
      <c r="BP97" s="30">
        <v>359</v>
      </c>
      <c r="BQ97" s="30">
        <v>435</v>
      </c>
      <c r="BR97" s="30">
        <v>511</v>
      </c>
      <c r="BS97" s="30">
        <v>562</v>
      </c>
      <c r="BT97" s="30">
        <v>664</v>
      </c>
      <c r="BU97" s="30">
        <v>791</v>
      </c>
      <c r="BV97" s="30">
        <v>841</v>
      </c>
      <c r="BW97" s="30">
        <v>892</v>
      </c>
      <c r="BX97" s="30">
        <v>994</v>
      </c>
      <c r="BY97" s="30">
        <v>1095</v>
      </c>
      <c r="BZ97" s="30">
        <v>1200</v>
      </c>
      <c r="CA97" s="36">
        <v>1407</v>
      </c>
    </row>
    <row r="98" spans="14:79" ht="12.75">
      <c r="N98" s="139"/>
      <c r="O98" t="s">
        <v>20</v>
      </c>
      <c r="P98" t="s">
        <v>21</v>
      </c>
      <c r="Q98" s="172" t="s">
        <v>18</v>
      </c>
      <c r="R98" s="4" t="s">
        <v>18</v>
      </c>
      <c r="S98" s="175" t="s">
        <v>18</v>
      </c>
      <c r="T98" s="4" t="s">
        <v>18</v>
      </c>
      <c r="U98" s="4" t="s">
        <v>18</v>
      </c>
      <c r="V98" s="4" t="s">
        <v>18</v>
      </c>
      <c r="W98" s="4" t="s">
        <v>18</v>
      </c>
      <c r="X98" s="4">
        <v>203</v>
      </c>
      <c r="Y98" s="4">
        <v>203</v>
      </c>
      <c r="Z98" s="4">
        <v>229</v>
      </c>
      <c r="AA98" s="4">
        <v>254</v>
      </c>
      <c r="AB98" s="4">
        <v>305</v>
      </c>
      <c r="AC98" s="4">
        <v>356</v>
      </c>
      <c r="AD98" s="4">
        <v>406</v>
      </c>
      <c r="AE98" s="4">
        <v>457</v>
      </c>
      <c r="AF98" s="4">
        <v>457</v>
      </c>
      <c r="AG98" s="4">
        <v>559</v>
      </c>
      <c r="AH98" s="4">
        <v>610</v>
      </c>
      <c r="AI98" s="4">
        <v>686</v>
      </c>
      <c r="AJ98" s="4">
        <v>762</v>
      </c>
      <c r="AK98" s="14">
        <v>762</v>
      </c>
      <c r="AL98" s="23" t="s">
        <v>18</v>
      </c>
      <c r="AM98" s="23" t="s">
        <v>18</v>
      </c>
      <c r="AN98" s="23" t="s">
        <v>18</v>
      </c>
      <c r="AO98" s="9" t="s">
        <v>18</v>
      </c>
      <c r="AP98" s="9" t="s">
        <v>18</v>
      </c>
      <c r="AQ98" s="9" t="s">
        <v>18</v>
      </c>
      <c r="AR98" s="9">
        <v>203</v>
      </c>
      <c r="AS98" s="9">
        <v>203</v>
      </c>
      <c r="AT98" s="9">
        <v>203</v>
      </c>
      <c r="AU98" s="9">
        <v>229</v>
      </c>
      <c r="AV98" s="9">
        <v>254</v>
      </c>
      <c r="AW98" s="9">
        <v>305</v>
      </c>
      <c r="AX98" s="9">
        <v>356</v>
      </c>
      <c r="AY98" s="9">
        <v>406</v>
      </c>
      <c r="AZ98" s="9">
        <v>508</v>
      </c>
      <c r="BA98" s="9">
        <v>508</v>
      </c>
      <c r="BB98" s="9">
        <v>686</v>
      </c>
      <c r="BC98" s="9">
        <v>686</v>
      </c>
      <c r="BD98" s="9">
        <v>762</v>
      </c>
      <c r="BE98" s="9">
        <v>914</v>
      </c>
      <c r="BF98" s="24">
        <v>1082</v>
      </c>
      <c r="BG98" s="35" t="s">
        <v>18</v>
      </c>
      <c r="BH98" s="35" t="s">
        <v>18</v>
      </c>
      <c r="BI98" s="35">
        <v>89</v>
      </c>
      <c r="BJ98" s="30">
        <v>102</v>
      </c>
      <c r="BK98" s="30">
        <v>127</v>
      </c>
      <c r="BL98" s="30">
        <v>127</v>
      </c>
      <c r="BM98" s="30">
        <v>152</v>
      </c>
      <c r="BN98" s="30">
        <v>203</v>
      </c>
      <c r="BO98" s="30">
        <v>229</v>
      </c>
      <c r="BP98" s="30">
        <v>254</v>
      </c>
      <c r="BQ98" s="30">
        <v>356</v>
      </c>
      <c r="BR98" s="30">
        <v>406</v>
      </c>
      <c r="BS98" s="30">
        <v>508</v>
      </c>
      <c r="BT98" s="30">
        <v>610</v>
      </c>
      <c r="BU98" s="30">
        <v>686</v>
      </c>
      <c r="BV98" s="30">
        <v>686</v>
      </c>
      <c r="BW98" s="30">
        <v>762</v>
      </c>
      <c r="BX98" s="30">
        <v>762</v>
      </c>
      <c r="BY98" s="30">
        <v>914</v>
      </c>
      <c r="BZ98" s="30">
        <v>914</v>
      </c>
      <c r="CA98" s="36">
        <v>1067</v>
      </c>
    </row>
    <row r="99" spans="14:79" ht="12.75">
      <c r="N99" s="139"/>
      <c r="O99" s="3" t="s">
        <v>184</v>
      </c>
      <c r="P99" t="s">
        <v>72</v>
      </c>
      <c r="Q99" s="172" t="s">
        <v>18</v>
      </c>
      <c r="R99" s="4" t="s">
        <v>18</v>
      </c>
      <c r="S99" s="175" t="s">
        <v>18</v>
      </c>
      <c r="T99" s="4" t="s">
        <v>18</v>
      </c>
      <c r="U99" s="4" t="s">
        <v>18</v>
      </c>
      <c r="V99" s="4" t="s">
        <v>18</v>
      </c>
      <c r="W99" s="4" t="s">
        <v>18</v>
      </c>
      <c r="X99" s="4">
        <v>349</v>
      </c>
      <c r="Y99" s="4">
        <v>368</v>
      </c>
      <c r="Z99" s="4">
        <v>419</v>
      </c>
      <c r="AA99" s="4">
        <v>502</v>
      </c>
      <c r="AB99" s="4">
        <v>584</v>
      </c>
      <c r="AC99" s="4">
        <v>622</v>
      </c>
      <c r="AD99" s="4">
        <v>660</v>
      </c>
      <c r="AE99" s="4" t="s">
        <v>18</v>
      </c>
      <c r="AF99" s="4" t="s">
        <v>18</v>
      </c>
      <c r="AG99" s="4" t="s">
        <v>18</v>
      </c>
      <c r="AH99" s="4" t="s">
        <v>18</v>
      </c>
      <c r="AI99" s="4" t="s">
        <v>18</v>
      </c>
      <c r="AJ99" s="4" t="s">
        <v>18</v>
      </c>
      <c r="AK99" s="14" t="s">
        <v>18</v>
      </c>
      <c r="AL99" s="23" t="s">
        <v>18</v>
      </c>
      <c r="AM99" s="23" t="s">
        <v>18</v>
      </c>
      <c r="AN99" s="23" t="s">
        <v>18</v>
      </c>
      <c r="AO99" s="9" t="s">
        <v>18</v>
      </c>
      <c r="AP99" s="9" t="s">
        <v>18</v>
      </c>
      <c r="AQ99" s="9" t="s">
        <v>18</v>
      </c>
      <c r="AR99" s="9" t="s">
        <v>18</v>
      </c>
      <c r="AS99" s="9">
        <v>451</v>
      </c>
      <c r="AT99" s="9">
        <v>483</v>
      </c>
      <c r="AU99" s="9">
        <v>521</v>
      </c>
      <c r="AV99" s="9">
        <v>629</v>
      </c>
      <c r="AW99" s="9">
        <v>673</v>
      </c>
      <c r="AX99" s="9">
        <v>756</v>
      </c>
      <c r="AY99" s="9">
        <v>927</v>
      </c>
      <c r="AZ99" s="9" t="s">
        <v>18</v>
      </c>
      <c r="BA99" s="9" t="s">
        <v>18</v>
      </c>
      <c r="BB99" s="9" t="s">
        <v>18</v>
      </c>
      <c r="BC99" s="9" t="s">
        <v>18</v>
      </c>
      <c r="BD99" s="9" t="s">
        <v>18</v>
      </c>
      <c r="BE99" s="9" t="s">
        <v>18</v>
      </c>
      <c r="BF99" s="24" t="s">
        <v>18</v>
      </c>
      <c r="BG99" s="35" t="s">
        <v>18</v>
      </c>
      <c r="BH99" s="35" t="s">
        <v>18</v>
      </c>
      <c r="BI99" s="35">
        <v>200</v>
      </c>
      <c r="BJ99" s="30">
        <v>248</v>
      </c>
      <c r="BK99" s="30">
        <v>264</v>
      </c>
      <c r="BL99" s="30">
        <v>298</v>
      </c>
      <c r="BM99" s="30">
        <v>330</v>
      </c>
      <c r="BN99" s="30">
        <v>483</v>
      </c>
      <c r="BO99" s="30">
        <v>540</v>
      </c>
      <c r="BP99" s="30">
        <v>597</v>
      </c>
      <c r="BQ99" s="30">
        <v>699</v>
      </c>
      <c r="BR99" s="30">
        <v>781</v>
      </c>
      <c r="BS99" s="30">
        <v>889</v>
      </c>
      <c r="BT99" s="30" t="s">
        <v>18</v>
      </c>
      <c r="BU99" s="30" t="s">
        <v>18</v>
      </c>
      <c r="BV99" s="30" t="s">
        <v>18</v>
      </c>
      <c r="BW99" s="30" t="s">
        <v>18</v>
      </c>
      <c r="BX99" s="30" t="s">
        <v>18</v>
      </c>
      <c r="BY99" s="30" t="s">
        <v>18</v>
      </c>
      <c r="BZ99" s="30" t="s">
        <v>18</v>
      </c>
      <c r="CA99" s="36" t="s">
        <v>18</v>
      </c>
    </row>
    <row r="100" spans="14:79" ht="12.75">
      <c r="N100" s="139"/>
      <c r="O100" s="3" t="s">
        <v>185</v>
      </c>
      <c r="P100" t="s">
        <v>73</v>
      </c>
      <c r="Q100" s="172" t="s">
        <v>18</v>
      </c>
      <c r="R100" s="4" t="s">
        <v>18</v>
      </c>
      <c r="S100" s="175">
        <v>108</v>
      </c>
      <c r="T100" s="4">
        <v>117</v>
      </c>
      <c r="U100" s="4">
        <v>127</v>
      </c>
      <c r="V100" s="4">
        <v>140</v>
      </c>
      <c r="W100" s="4">
        <v>165</v>
      </c>
      <c r="X100" s="4">
        <v>203</v>
      </c>
      <c r="Y100" s="4">
        <v>216</v>
      </c>
      <c r="Z100" s="4">
        <v>241</v>
      </c>
      <c r="AA100" s="4">
        <v>292</v>
      </c>
      <c r="AB100" s="4">
        <v>356</v>
      </c>
      <c r="AC100" s="4">
        <v>406</v>
      </c>
      <c r="AD100" s="4">
        <v>495</v>
      </c>
      <c r="AE100" s="4">
        <v>622</v>
      </c>
      <c r="AF100" s="4">
        <v>699</v>
      </c>
      <c r="AG100" s="4">
        <v>787</v>
      </c>
      <c r="AH100" s="4">
        <v>914</v>
      </c>
      <c r="AI100" s="4" t="s">
        <v>18</v>
      </c>
      <c r="AJ100" s="4" t="s">
        <v>18</v>
      </c>
      <c r="AK100" s="14" t="s">
        <v>18</v>
      </c>
      <c r="AL100" s="23" t="s">
        <v>18</v>
      </c>
      <c r="AM100" s="23" t="s">
        <v>18</v>
      </c>
      <c r="AN100" s="23">
        <v>152</v>
      </c>
      <c r="AO100" s="9">
        <v>178</v>
      </c>
      <c r="AP100" s="9">
        <v>203</v>
      </c>
      <c r="AQ100" s="9">
        <v>216</v>
      </c>
      <c r="AR100" s="9">
        <v>229</v>
      </c>
      <c r="AS100" s="9">
        <v>267</v>
      </c>
      <c r="AT100" s="9">
        <v>292</v>
      </c>
      <c r="AU100" s="9">
        <v>318</v>
      </c>
      <c r="AV100" s="9">
        <v>356</v>
      </c>
      <c r="AW100" s="9">
        <v>400</v>
      </c>
      <c r="AX100" s="9">
        <v>445</v>
      </c>
      <c r="AY100" s="9">
        <v>559</v>
      </c>
      <c r="AZ100" s="9">
        <v>622</v>
      </c>
      <c r="BA100" s="9">
        <v>711</v>
      </c>
      <c r="BB100" s="9" t="s">
        <v>18</v>
      </c>
      <c r="BC100" s="9" t="s">
        <v>18</v>
      </c>
      <c r="BD100" s="9" t="s">
        <v>18</v>
      </c>
      <c r="BE100" s="9" t="s">
        <v>18</v>
      </c>
      <c r="BF100" s="24" t="s">
        <v>18</v>
      </c>
      <c r="BG100" s="35" t="s">
        <v>18</v>
      </c>
      <c r="BH100" s="35" t="s">
        <v>18</v>
      </c>
      <c r="BI100" s="35">
        <v>165</v>
      </c>
      <c r="BJ100" s="30">
        <v>191</v>
      </c>
      <c r="BK100" s="30">
        <v>216</v>
      </c>
      <c r="BL100" s="30">
        <v>229</v>
      </c>
      <c r="BM100" s="30">
        <v>241</v>
      </c>
      <c r="BN100" s="30">
        <v>292</v>
      </c>
      <c r="BO100" s="30">
        <v>330</v>
      </c>
      <c r="BP100" s="30">
        <v>356</v>
      </c>
      <c r="BQ100" s="30">
        <v>432</v>
      </c>
      <c r="BR100" s="30">
        <v>508</v>
      </c>
      <c r="BS100" s="30">
        <v>559</v>
      </c>
      <c r="BT100" s="30">
        <v>660</v>
      </c>
      <c r="BU100" s="30">
        <v>787</v>
      </c>
      <c r="BV100" s="30">
        <v>838</v>
      </c>
      <c r="BW100" s="30" t="s">
        <v>18</v>
      </c>
      <c r="BX100" s="30" t="s">
        <v>18</v>
      </c>
      <c r="BY100" s="30" t="s">
        <v>18</v>
      </c>
      <c r="BZ100" s="30" t="s">
        <v>18</v>
      </c>
      <c r="CA100" s="36" t="s">
        <v>18</v>
      </c>
    </row>
    <row r="101" spans="14:79" ht="12.75">
      <c r="N101" s="139"/>
      <c r="O101" s="3" t="s">
        <v>0</v>
      </c>
      <c r="P101" t="s">
        <v>74</v>
      </c>
      <c r="Q101" s="172" t="s">
        <v>18</v>
      </c>
      <c r="R101" s="4" t="s">
        <v>18</v>
      </c>
      <c r="S101" s="175">
        <v>119</v>
      </c>
      <c r="T101" s="4">
        <v>130</v>
      </c>
      <c r="U101" s="4">
        <v>140</v>
      </c>
      <c r="V101" s="4">
        <v>152</v>
      </c>
      <c r="W101" s="4">
        <v>178</v>
      </c>
      <c r="X101" s="4">
        <v>216</v>
      </c>
      <c r="Y101" s="4">
        <v>229</v>
      </c>
      <c r="Z101" s="4">
        <v>254</v>
      </c>
      <c r="AA101" s="4">
        <v>305</v>
      </c>
      <c r="AB101" s="4">
        <v>368</v>
      </c>
      <c r="AC101" s="4">
        <v>419</v>
      </c>
      <c r="AD101" s="4">
        <v>508</v>
      </c>
      <c r="AE101" s="4">
        <v>635</v>
      </c>
      <c r="AF101" s="4">
        <v>711</v>
      </c>
      <c r="AG101" s="4">
        <v>800</v>
      </c>
      <c r="AH101" s="4">
        <v>927</v>
      </c>
      <c r="AI101" s="4" t="s">
        <v>18</v>
      </c>
      <c r="AJ101" s="4" t="s">
        <v>18</v>
      </c>
      <c r="AK101" s="14" t="s">
        <v>18</v>
      </c>
      <c r="AL101" s="23" t="s">
        <v>18</v>
      </c>
      <c r="AM101" s="23" t="s">
        <v>18</v>
      </c>
      <c r="AN101" s="23">
        <v>164</v>
      </c>
      <c r="AO101" s="9">
        <v>191</v>
      </c>
      <c r="AP101" s="9">
        <v>216</v>
      </c>
      <c r="AQ101" s="9">
        <v>229</v>
      </c>
      <c r="AR101" s="9">
        <v>241</v>
      </c>
      <c r="AS101" s="9">
        <v>283</v>
      </c>
      <c r="AT101" s="9">
        <v>308</v>
      </c>
      <c r="AU101" s="9">
        <v>333</v>
      </c>
      <c r="AV101" s="9">
        <v>371</v>
      </c>
      <c r="AW101" s="9">
        <v>416</v>
      </c>
      <c r="AX101" s="9">
        <v>460</v>
      </c>
      <c r="AY101" s="9">
        <v>575</v>
      </c>
      <c r="AZ101" s="9">
        <v>638</v>
      </c>
      <c r="BA101" s="9">
        <v>727</v>
      </c>
      <c r="BB101" s="9" t="s">
        <v>18</v>
      </c>
      <c r="BC101" s="9" t="s">
        <v>18</v>
      </c>
      <c r="BD101" s="9" t="s">
        <v>18</v>
      </c>
      <c r="BE101" s="9" t="s">
        <v>18</v>
      </c>
      <c r="BF101" s="24" t="s">
        <v>18</v>
      </c>
      <c r="BG101" s="35" t="s">
        <v>18</v>
      </c>
      <c r="BH101" s="35" t="s">
        <v>18</v>
      </c>
      <c r="BI101" s="35">
        <v>164</v>
      </c>
      <c r="BJ101" s="30">
        <v>191</v>
      </c>
      <c r="BK101" s="30">
        <v>216</v>
      </c>
      <c r="BL101" s="30">
        <v>229</v>
      </c>
      <c r="BM101" s="30">
        <v>241</v>
      </c>
      <c r="BN101" s="30">
        <v>295</v>
      </c>
      <c r="BO101" s="30">
        <v>333</v>
      </c>
      <c r="BP101" s="30">
        <v>359</v>
      </c>
      <c r="BQ101" s="30">
        <v>435</v>
      </c>
      <c r="BR101" s="30">
        <v>511</v>
      </c>
      <c r="BS101" s="30">
        <v>562</v>
      </c>
      <c r="BT101" s="30">
        <v>664</v>
      </c>
      <c r="BU101" s="30">
        <v>791</v>
      </c>
      <c r="BV101" s="30">
        <v>841</v>
      </c>
      <c r="BW101" s="30" t="s">
        <v>18</v>
      </c>
      <c r="BX101" s="30" t="s">
        <v>18</v>
      </c>
      <c r="BY101" s="30" t="s">
        <v>18</v>
      </c>
      <c r="BZ101" s="30" t="s">
        <v>18</v>
      </c>
      <c r="CA101" s="36" t="s">
        <v>18</v>
      </c>
    </row>
    <row r="102" spans="14:79" ht="12.75">
      <c r="N102" s="139"/>
      <c r="O102" s="3" t="s">
        <v>1</v>
      </c>
      <c r="Q102" s="172" t="s">
        <v>18</v>
      </c>
      <c r="R102" s="4" t="s">
        <v>18</v>
      </c>
      <c r="S102" s="175" t="s">
        <v>18</v>
      </c>
      <c r="T102" s="4" t="s">
        <v>18</v>
      </c>
      <c r="U102" s="4" t="s">
        <v>18</v>
      </c>
      <c r="V102" s="4" t="s">
        <v>18</v>
      </c>
      <c r="W102" s="4" t="s">
        <v>18</v>
      </c>
      <c r="X102" s="4">
        <v>203</v>
      </c>
      <c r="Y102" s="4">
        <v>203</v>
      </c>
      <c r="Z102" s="4">
        <v>229</v>
      </c>
      <c r="AA102" s="4">
        <v>254</v>
      </c>
      <c r="AB102" s="4">
        <v>254</v>
      </c>
      <c r="AC102" s="4">
        <v>305</v>
      </c>
      <c r="AD102" s="4">
        <v>406</v>
      </c>
      <c r="AE102" s="4" t="s">
        <v>18</v>
      </c>
      <c r="AF102" s="4" t="s">
        <v>18</v>
      </c>
      <c r="AG102" s="4" t="s">
        <v>18</v>
      </c>
      <c r="AH102" s="4" t="s">
        <v>18</v>
      </c>
      <c r="AI102" s="4" t="s">
        <v>18</v>
      </c>
      <c r="AJ102" s="4" t="s">
        <v>18</v>
      </c>
      <c r="AK102" s="14" t="s">
        <v>18</v>
      </c>
      <c r="AL102" s="23" t="s">
        <v>18</v>
      </c>
      <c r="AM102" s="23" t="s">
        <v>18</v>
      </c>
      <c r="AN102" s="23" t="s">
        <v>18</v>
      </c>
      <c r="AO102" s="9" t="s">
        <v>18</v>
      </c>
      <c r="AP102" s="9" t="s">
        <v>18</v>
      </c>
      <c r="AQ102" s="9" t="s">
        <v>18</v>
      </c>
      <c r="AR102" s="9" t="s">
        <v>18</v>
      </c>
      <c r="AS102" s="9">
        <v>229</v>
      </c>
      <c r="AT102" s="9">
        <v>254</v>
      </c>
      <c r="AU102" s="9">
        <v>254</v>
      </c>
      <c r="AV102" s="9">
        <v>356</v>
      </c>
      <c r="AW102" s="9">
        <v>406</v>
      </c>
      <c r="AX102" s="9">
        <v>457</v>
      </c>
      <c r="AY102" s="9">
        <v>60</v>
      </c>
      <c r="AZ102" s="9" t="s">
        <v>18</v>
      </c>
      <c r="BA102" s="9" t="s">
        <v>18</v>
      </c>
      <c r="BB102" s="9" t="s">
        <v>18</v>
      </c>
      <c r="BC102" s="9" t="s">
        <v>18</v>
      </c>
      <c r="BD102" s="9" t="s">
        <v>18</v>
      </c>
      <c r="BE102" s="9" t="s">
        <v>18</v>
      </c>
      <c r="BF102" s="24" t="s">
        <v>18</v>
      </c>
      <c r="BG102" s="35" t="s">
        <v>18</v>
      </c>
      <c r="BH102" s="35" t="s">
        <v>18</v>
      </c>
      <c r="BI102" s="35">
        <v>89</v>
      </c>
      <c r="BJ102" s="30">
        <v>102</v>
      </c>
      <c r="BK102" s="30">
        <v>127</v>
      </c>
      <c r="BL102" s="30">
        <v>152</v>
      </c>
      <c r="BM102" s="30">
        <v>178</v>
      </c>
      <c r="BN102" s="30">
        <v>254</v>
      </c>
      <c r="BO102" s="30">
        <v>305</v>
      </c>
      <c r="BP102" s="30">
        <v>305</v>
      </c>
      <c r="BQ102" s="30">
        <v>457</v>
      </c>
      <c r="BR102" s="30">
        <v>508</v>
      </c>
      <c r="BS102" s="30">
        <v>610</v>
      </c>
      <c r="BT102" s="30" t="s">
        <v>18</v>
      </c>
      <c r="BU102" s="30" t="s">
        <v>18</v>
      </c>
      <c r="BV102" s="30" t="s">
        <v>18</v>
      </c>
      <c r="BW102" s="30" t="s">
        <v>18</v>
      </c>
      <c r="BX102" s="30" t="s">
        <v>18</v>
      </c>
      <c r="BY102" s="30" t="s">
        <v>18</v>
      </c>
      <c r="BZ102" s="30" t="s">
        <v>18</v>
      </c>
      <c r="CA102" s="36" t="s">
        <v>18</v>
      </c>
    </row>
    <row r="103" spans="14:79" ht="12.75">
      <c r="N103" s="139"/>
      <c r="O103" s="3" t="s">
        <v>139</v>
      </c>
      <c r="Q103" s="172" t="s">
        <v>18</v>
      </c>
      <c r="R103" s="4" t="s">
        <v>18</v>
      </c>
      <c r="S103" s="175">
        <v>108</v>
      </c>
      <c r="T103" s="4">
        <v>117</v>
      </c>
      <c r="U103" s="4">
        <v>127</v>
      </c>
      <c r="V103" s="4">
        <v>140</v>
      </c>
      <c r="W103" s="4">
        <v>165</v>
      </c>
      <c r="X103" s="4">
        <v>203</v>
      </c>
      <c r="Y103" s="4">
        <v>216</v>
      </c>
      <c r="Z103" s="4">
        <v>241</v>
      </c>
      <c r="AA103" s="4">
        <v>292</v>
      </c>
      <c r="AB103" s="4">
        <v>330</v>
      </c>
      <c r="AC103" s="4">
        <v>356</v>
      </c>
      <c r="AD103" s="4">
        <v>495</v>
      </c>
      <c r="AE103" s="4">
        <v>622</v>
      </c>
      <c r="AF103" s="4">
        <v>699</v>
      </c>
      <c r="AG103" s="4">
        <v>787</v>
      </c>
      <c r="AH103" s="4" t="s">
        <v>18</v>
      </c>
      <c r="AI103" s="4" t="s">
        <v>18</v>
      </c>
      <c r="AJ103" s="4" t="s">
        <v>18</v>
      </c>
      <c r="AK103" s="14" t="s">
        <v>18</v>
      </c>
      <c r="AL103" s="23" t="s">
        <v>18</v>
      </c>
      <c r="AM103" s="23" t="s">
        <v>18</v>
      </c>
      <c r="AN103" s="23" t="s">
        <v>18</v>
      </c>
      <c r="AO103" s="9" t="s">
        <v>18</v>
      </c>
      <c r="AP103" s="9">
        <v>216</v>
      </c>
      <c r="AQ103" s="9">
        <v>229</v>
      </c>
      <c r="AR103" s="9">
        <v>241</v>
      </c>
      <c r="AS103" s="9">
        <v>267</v>
      </c>
      <c r="AT103" s="9">
        <v>292</v>
      </c>
      <c r="AU103" s="9">
        <v>318</v>
      </c>
      <c r="AV103" s="9">
        <v>356</v>
      </c>
      <c r="AW103" s="9">
        <v>400</v>
      </c>
      <c r="AX103" s="9">
        <v>445</v>
      </c>
      <c r="AY103" s="9">
        <v>533</v>
      </c>
      <c r="AZ103" s="9">
        <v>622</v>
      </c>
      <c r="BA103" s="9">
        <v>711</v>
      </c>
      <c r="BB103" s="9" t="s">
        <v>18</v>
      </c>
      <c r="BC103" s="9" t="s">
        <v>18</v>
      </c>
      <c r="BD103" s="9" t="s">
        <v>18</v>
      </c>
      <c r="BE103" s="9" t="s">
        <v>18</v>
      </c>
      <c r="BF103" s="24" t="s">
        <v>18</v>
      </c>
      <c r="BG103" s="35" t="s">
        <v>18</v>
      </c>
      <c r="BH103" s="35" t="s">
        <v>18</v>
      </c>
      <c r="BI103" s="35">
        <v>165</v>
      </c>
      <c r="BJ103" s="30">
        <v>191</v>
      </c>
      <c r="BK103" s="30">
        <v>216</v>
      </c>
      <c r="BL103" s="30">
        <v>229</v>
      </c>
      <c r="BM103" s="30">
        <v>241</v>
      </c>
      <c r="BN103" s="30">
        <v>292</v>
      </c>
      <c r="BO103" s="30">
        <v>330</v>
      </c>
      <c r="BP103" s="30">
        <v>356</v>
      </c>
      <c r="BQ103" s="30">
        <v>432</v>
      </c>
      <c r="BR103" s="30">
        <v>508</v>
      </c>
      <c r="BS103" s="30">
        <v>559</v>
      </c>
      <c r="BT103" s="30">
        <v>660</v>
      </c>
      <c r="BU103" s="30">
        <v>787</v>
      </c>
      <c r="BV103" s="30">
        <v>838</v>
      </c>
      <c r="BW103" s="30" t="s">
        <v>18</v>
      </c>
      <c r="BX103" s="30" t="s">
        <v>18</v>
      </c>
      <c r="BY103" s="30" t="s">
        <v>18</v>
      </c>
      <c r="BZ103" s="30" t="s">
        <v>18</v>
      </c>
      <c r="CA103" s="36" t="s">
        <v>18</v>
      </c>
    </row>
    <row r="104" spans="14:79" ht="12.75">
      <c r="N104" s="139"/>
      <c r="O104" s="3" t="s">
        <v>186</v>
      </c>
      <c r="Q104" s="172" t="s">
        <v>18</v>
      </c>
      <c r="R104" s="4" t="s">
        <v>18</v>
      </c>
      <c r="S104" s="175">
        <v>119</v>
      </c>
      <c r="T104" s="4">
        <v>130</v>
      </c>
      <c r="U104" s="4">
        <v>127</v>
      </c>
      <c r="V104" s="4">
        <v>152</v>
      </c>
      <c r="W104" s="4">
        <v>178</v>
      </c>
      <c r="X104" s="4">
        <v>216</v>
      </c>
      <c r="Y104" s="4">
        <v>229</v>
      </c>
      <c r="Z104" s="4">
        <v>254</v>
      </c>
      <c r="AA104" s="4">
        <v>305</v>
      </c>
      <c r="AB104" s="4">
        <v>343</v>
      </c>
      <c r="AC104" s="4">
        <v>368</v>
      </c>
      <c r="AD104" s="4">
        <v>508</v>
      </c>
      <c r="AE104" s="4">
        <v>635</v>
      </c>
      <c r="AF104" s="4">
        <v>711</v>
      </c>
      <c r="AG104" s="4">
        <v>800</v>
      </c>
      <c r="AH104" s="4" t="s">
        <v>18</v>
      </c>
      <c r="AI104" s="4" t="s">
        <v>18</v>
      </c>
      <c r="AJ104" s="4" t="s">
        <v>18</v>
      </c>
      <c r="AK104" s="14" t="s">
        <v>18</v>
      </c>
      <c r="AL104" s="23" t="s">
        <v>18</v>
      </c>
      <c r="AM104" s="23" t="s">
        <v>18</v>
      </c>
      <c r="AN104" s="23" t="s">
        <v>18</v>
      </c>
      <c r="AO104" s="9" t="s">
        <v>18</v>
      </c>
      <c r="AP104" s="9">
        <v>229</v>
      </c>
      <c r="AQ104" s="9">
        <v>241</v>
      </c>
      <c r="AR104" s="9">
        <v>254</v>
      </c>
      <c r="AS104" s="9">
        <v>283</v>
      </c>
      <c r="AT104" s="9">
        <v>308</v>
      </c>
      <c r="AU104" s="9">
        <v>333</v>
      </c>
      <c r="AV104" s="9">
        <v>374</v>
      </c>
      <c r="AW104" s="9">
        <v>416</v>
      </c>
      <c r="AX104" s="9">
        <v>460</v>
      </c>
      <c r="AY104" s="9">
        <v>549</v>
      </c>
      <c r="AZ104" s="9">
        <v>638</v>
      </c>
      <c r="BA104" s="9">
        <v>727</v>
      </c>
      <c r="BB104" s="9" t="s">
        <v>18</v>
      </c>
      <c r="BC104" s="9" t="s">
        <v>18</v>
      </c>
      <c r="BD104" s="9" t="s">
        <v>18</v>
      </c>
      <c r="BE104" s="9" t="s">
        <v>18</v>
      </c>
      <c r="BF104" s="24" t="s">
        <v>18</v>
      </c>
      <c r="BG104" s="35" t="s">
        <v>18</v>
      </c>
      <c r="BH104" s="35" t="s">
        <v>18</v>
      </c>
      <c r="BI104" s="35">
        <v>164</v>
      </c>
      <c r="BJ104" s="30">
        <v>191</v>
      </c>
      <c r="BK104" s="30">
        <v>216</v>
      </c>
      <c r="BL104" s="30">
        <v>229</v>
      </c>
      <c r="BM104" s="30">
        <v>241</v>
      </c>
      <c r="BN104" s="30">
        <v>295</v>
      </c>
      <c r="BO104" s="30">
        <v>333</v>
      </c>
      <c r="BP104" s="30">
        <v>359</v>
      </c>
      <c r="BQ104" s="30">
        <v>435</v>
      </c>
      <c r="BR104" s="30">
        <v>511</v>
      </c>
      <c r="BS104" s="30">
        <v>562</v>
      </c>
      <c r="BT104" s="30">
        <v>664</v>
      </c>
      <c r="BU104" s="30">
        <v>791</v>
      </c>
      <c r="BV104" s="30">
        <v>841</v>
      </c>
      <c r="BW104" s="30" t="s">
        <v>18</v>
      </c>
      <c r="BX104" s="30" t="s">
        <v>18</v>
      </c>
      <c r="BY104" s="30" t="s">
        <v>18</v>
      </c>
      <c r="BZ104" s="30" t="s">
        <v>18</v>
      </c>
      <c r="CA104" s="36" t="s">
        <v>18</v>
      </c>
    </row>
    <row r="105" spans="14:79" ht="12.75">
      <c r="N105" s="139"/>
      <c r="O105" s="3" t="s">
        <v>143</v>
      </c>
      <c r="Q105" s="172" t="s">
        <v>18</v>
      </c>
      <c r="R105" s="4" t="s">
        <v>18</v>
      </c>
      <c r="S105" s="175">
        <v>16</v>
      </c>
      <c r="T105" s="4">
        <v>16</v>
      </c>
      <c r="U105" s="4">
        <v>17</v>
      </c>
      <c r="V105" s="4">
        <v>21</v>
      </c>
      <c r="W105" s="4">
        <v>22</v>
      </c>
      <c r="X105" s="4">
        <v>25</v>
      </c>
      <c r="Y105" s="4">
        <v>29</v>
      </c>
      <c r="Z105" s="4">
        <v>30</v>
      </c>
      <c r="AA105" s="4">
        <v>33</v>
      </c>
      <c r="AB105" s="4">
        <v>37</v>
      </c>
      <c r="AC105" s="4">
        <v>40</v>
      </c>
      <c r="AD105" s="4">
        <v>44</v>
      </c>
      <c r="AE105" s="4">
        <v>49</v>
      </c>
      <c r="AF105" s="4">
        <v>56</v>
      </c>
      <c r="AG105" s="4">
        <v>57</v>
      </c>
      <c r="AH105" s="4">
        <v>64</v>
      </c>
      <c r="AI105" s="4">
        <v>68</v>
      </c>
      <c r="AJ105" s="4">
        <v>73</v>
      </c>
      <c r="AK105" s="14">
        <v>83</v>
      </c>
      <c r="AL105" s="23" t="s">
        <v>18</v>
      </c>
      <c r="AM105" s="23" t="s">
        <v>18</v>
      </c>
      <c r="AN105" s="23">
        <v>22</v>
      </c>
      <c r="AO105" s="9">
        <v>25</v>
      </c>
      <c r="AP105" s="9">
        <v>27</v>
      </c>
      <c r="AQ105" s="9">
        <v>27</v>
      </c>
      <c r="AR105" s="9">
        <v>30</v>
      </c>
      <c r="AS105" s="9">
        <v>33</v>
      </c>
      <c r="AT105" s="9">
        <v>38</v>
      </c>
      <c r="AU105" s="9">
        <v>43</v>
      </c>
      <c r="AV105" s="9">
        <v>48</v>
      </c>
      <c r="AW105" s="9">
        <v>51</v>
      </c>
      <c r="AX105" s="9">
        <v>52</v>
      </c>
      <c r="AY105" s="9">
        <v>62</v>
      </c>
      <c r="AZ105" s="9">
        <v>67</v>
      </c>
      <c r="BA105" s="9">
        <v>73</v>
      </c>
      <c r="BB105" s="9">
        <v>76</v>
      </c>
      <c r="BC105" s="9">
        <v>83</v>
      </c>
      <c r="BD105" s="9">
        <v>89</v>
      </c>
      <c r="BE105" s="9">
        <v>95</v>
      </c>
      <c r="BF105" s="24">
        <v>106</v>
      </c>
      <c r="BG105" s="35" t="s">
        <v>18</v>
      </c>
      <c r="BH105" s="35" t="s">
        <v>18</v>
      </c>
      <c r="BI105" s="35">
        <v>29</v>
      </c>
      <c r="BJ105" s="30">
        <v>32</v>
      </c>
      <c r="BK105" s="30">
        <v>33</v>
      </c>
      <c r="BL105" s="30">
        <v>35</v>
      </c>
      <c r="BM105" s="30">
        <v>38</v>
      </c>
      <c r="BN105" s="30">
        <v>43</v>
      </c>
      <c r="BO105" s="30">
        <v>48</v>
      </c>
      <c r="BP105" s="30">
        <v>52</v>
      </c>
      <c r="BQ105" s="30">
        <v>60</v>
      </c>
      <c r="BR105" s="30">
        <v>67</v>
      </c>
      <c r="BS105" s="30">
        <v>73</v>
      </c>
      <c r="BT105" s="30">
        <v>83</v>
      </c>
      <c r="BU105" s="30">
        <v>92</v>
      </c>
      <c r="BV105" s="30">
        <v>98</v>
      </c>
      <c r="BW105" s="30">
        <v>100</v>
      </c>
      <c r="BX105" s="30">
        <v>113</v>
      </c>
      <c r="BY105" s="30">
        <v>124</v>
      </c>
      <c r="BZ105" s="30">
        <v>133</v>
      </c>
      <c r="CA105" s="36">
        <v>146</v>
      </c>
    </row>
    <row r="106" spans="14:79" ht="12.75">
      <c r="N106" s="139"/>
      <c r="O106" s="3" t="s">
        <v>140</v>
      </c>
      <c r="Q106" s="172" t="s">
        <v>18</v>
      </c>
      <c r="R106" s="4" t="s">
        <v>18</v>
      </c>
      <c r="S106" s="175">
        <v>60</v>
      </c>
      <c r="T106" s="4">
        <v>70</v>
      </c>
      <c r="U106" s="4">
        <v>79</v>
      </c>
      <c r="V106" s="4">
        <v>89</v>
      </c>
      <c r="W106" s="4">
        <v>98</v>
      </c>
      <c r="X106" s="4">
        <v>121</v>
      </c>
      <c r="Y106" s="4">
        <v>140</v>
      </c>
      <c r="Z106" s="4">
        <v>152</v>
      </c>
      <c r="AA106" s="4">
        <v>191</v>
      </c>
      <c r="AB106" s="4">
        <v>26</v>
      </c>
      <c r="AC106" s="4">
        <v>241</v>
      </c>
      <c r="AD106" s="4">
        <v>298</v>
      </c>
      <c r="AE106" s="4">
        <v>362</v>
      </c>
      <c r="AF106" s="4">
        <v>432</v>
      </c>
      <c r="AG106" s="4">
        <v>476</v>
      </c>
      <c r="AH106" s="4">
        <v>540</v>
      </c>
      <c r="AI106" s="4">
        <v>578</v>
      </c>
      <c r="AJ106" s="4">
        <v>635</v>
      </c>
      <c r="AK106" s="14">
        <v>749</v>
      </c>
      <c r="AL106" s="23" t="s">
        <v>18</v>
      </c>
      <c r="AM106" s="23" t="s">
        <v>18</v>
      </c>
      <c r="AN106" s="23">
        <v>67</v>
      </c>
      <c r="AO106" s="9">
        <v>82</v>
      </c>
      <c r="AP106" s="9">
        <v>89</v>
      </c>
      <c r="AQ106" s="9">
        <v>98</v>
      </c>
      <c r="AR106" s="9">
        <v>114</v>
      </c>
      <c r="AS106" s="9">
        <v>127</v>
      </c>
      <c r="AT106" s="9">
        <v>149</v>
      </c>
      <c r="AU106" s="9">
        <v>168</v>
      </c>
      <c r="AV106" s="9">
        <v>200</v>
      </c>
      <c r="AW106" s="9">
        <v>235</v>
      </c>
      <c r="AX106" s="9">
        <v>270</v>
      </c>
      <c r="AY106" s="9">
        <v>330</v>
      </c>
      <c r="AZ106" s="9">
        <v>387</v>
      </c>
      <c r="BA106" s="9">
        <v>451</v>
      </c>
      <c r="BB106" s="9">
        <v>514</v>
      </c>
      <c r="BC106" s="9">
        <v>572</v>
      </c>
      <c r="BD106" s="9">
        <v>629</v>
      </c>
      <c r="BE106" s="9">
        <v>686</v>
      </c>
      <c r="BF106" s="24">
        <v>813</v>
      </c>
      <c r="BG106" s="35" t="s">
        <v>18</v>
      </c>
      <c r="BH106" s="35" t="s">
        <v>18</v>
      </c>
      <c r="BI106" s="35">
        <v>67</v>
      </c>
      <c r="BJ106" s="30">
        <v>83</v>
      </c>
      <c r="BK106" s="30">
        <v>89</v>
      </c>
      <c r="BL106" s="30">
        <v>98</v>
      </c>
      <c r="BM106" s="30">
        <v>114</v>
      </c>
      <c r="BN106" s="30">
        <v>127</v>
      </c>
      <c r="BO106" s="30">
        <v>149</v>
      </c>
      <c r="BP106" s="30">
        <v>168</v>
      </c>
      <c r="BQ106" s="30">
        <v>216</v>
      </c>
      <c r="BR106" s="30">
        <v>267</v>
      </c>
      <c r="BS106" s="30">
        <v>292</v>
      </c>
      <c r="BT106" s="30">
        <v>349</v>
      </c>
      <c r="BU106" s="30">
        <v>432</v>
      </c>
      <c r="BV106" s="30">
        <v>489</v>
      </c>
      <c r="BW106" s="30">
        <v>527</v>
      </c>
      <c r="BX106" s="30">
        <v>603</v>
      </c>
      <c r="BY106" s="30">
        <v>654</v>
      </c>
      <c r="BZ106" s="30">
        <v>724</v>
      </c>
      <c r="CA106" s="36">
        <v>838</v>
      </c>
    </row>
    <row r="107" spans="14:79" ht="12.75">
      <c r="N107" s="139"/>
      <c r="O107" s="3" t="s">
        <v>144</v>
      </c>
      <c r="Q107" s="172" t="s">
        <v>18</v>
      </c>
      <c r="R107" s="4" t="s">
        <v>18</v>
      </c>
      <c r="S107" s="175">
        <v>11</v>
      </c>
      <c r="T107" s="4">
        <v>13</v>
      </c>
      <c r="U107" s="4">
        <v>14</v>
      </c>
      <c r="V107" s="4">
        <v>16</v>
      </c>
      <c r="W107" s="4">
        <v>17</v>
      </c>
      <c r="X107" s="4">
        <v>19</v>
      </c>
      <c r="Y107" s="4">
        <v>22</v>
      </c>
      <c r="Z107" s="4">
        <v>24</v>
      </c>
      <c r="AA107" s="4">
        <v>24</v>
      </c>
      <c r="AB107" s="4">
        <v>24</v>
      </c>
      <c r="AC107" s="4">
        <v>25</v>
      </c>
      <c r="AD107" s="4">
        <v>29</v>
      </c>
      <c r="AE107" s="4">
        <v>30</v>
      </c>
      <c r="AF107" s="4">
        <v>32</v>
      </c>
      <c r="AG107" s="4">
        <v>35</v>
      </c>
      <c r="AH107" s="4">
        <v>37</v>
      </c>
      <c r="AI107" s="4">
        <v>40</v>
      </c>
      <c r="AJ107" s="4">
        <v>43</v>
      </c>
      <c r="AK107" s="14">
        <v>43</v>
      </c>
      <c r="AL107" s="23" t="s">
        <v>18</v>
      </c>
      <c r="AM107" s="23" t="s">
        <v>18</v>
      </c>
      <c r="AN107" s="23">
        <v>14</v>
      </c>
      <c r="AO107" s="9">
        <v>16</v>
      </c>
      <c r="AP107" s="9">
        <v>17</v>
      </c>
      <c r="AQ107" s="9">
        <v>19</v>
      </c>
      <c r="AR107" s="9">
        <v>21</v>
      </c>
      <c r="AS107" s="9">
        <v>22</v>
      </c>
      <c r="AT107" s="9">
        <v>25</v>
      </c>
      <c r="AU107" s="9">
        <v>29</v>
      </c>
      <c r="AV107" s="9">
        <v>32</v>
      </c>
      <c r="AW107" s="9">
        <v>35</v>
      </c>
      <c r="AX107" s="9">
        <v>37</v>
      </c>
      <c r="AY107" s="9">
        <v>41</v>
      </c>
      <c r="AZ107" s="9">
        <v>48</v>
      </c>
      <c r="BA107" s="9">
        <v>51</v>
      </c>
      <c r="BB107" s="9">
        <v>54</v>
      </c>
      <c r="BC107" s="9">
        <v>57</v>
      </c>
      <c r="BD107" s="9">
        <v>60</v>
      </c>
      <c r="BE107" s="9">
        <v>64</v>
      </c>
      <c r="BF107" s="24">
        <v>70</v>
      </c>
      <c r="BG107" s="35" t="s">
        <v>18</v>
      </c>
      <c r="BH107" s="35" t="s">
        <v>18</v>
      </c>
      <c r="BI107" s="35">
        <v>21</v>
      </c>
      <c r="BJ107" s="30">
        <v>22</v>
      </c>
      <c r="BK107" s="30">
        <v>24</v>
      </c>
      <c r="BL107" s="30">
        <v>27</v>
      </c>
      <c r="BM107" s="30">
        <v>29</v>
      </c>
      <c r="BN107" s="30">
        <v>32</v>
      </c>
      <c r="BO107" s="30">
        <v>35</v>
      </c>
      <c r="BP107" s="30">
        <v>38</v>
      </c>
      <c r="BQ107" s="30">
        <v>44</v>
      </c>
      <c r="BR107" s="30">
        <v>51</v>
      </c>
      <c r="BS107" s="30">
        <v>54</v>
      </c>
      <c r="BT107" s="30">
        <v>62</v>
      </c>
      <c r="BU107" s="30">
        <v>70</v>
      </c>
      <c r="BV107" s="30">
        <v>73</v>
      </c>
      <c r="BW107" s="30">
        <v>76</v>
      </c>
      <c r="BX107" s="30">
        <v>83</v>
      </c>
      <c r="BY107" s="30">
        <v>89</v>
      </c>
      <c r="BZ107" s="30">
        <v>95</v>
      </c>
      <c r="CA107" s="36">
        <v>108</v>
      </c>
    </row>
    <row r="108" spans="14:79" ht="12.75">
      <c r="N108" s="139"/>
      <c r="O108" s="3" t="s">
        <v>145</v>
      </c>
      <c r="Q108" s="172" t="s">
        <v>18</v>
      </c>
      <c r="R108" s="4" t="s">
        <v>18</v>
      </c>
      <c r="S108" s="175" t="s">
        <v>18</v>
      </c>
      <c r="T108" s="4" t="s">
        <v>18</v>
      </c>
      <c r="U108" s="4">
        <v>10</v>
      </c>
      <c r="V108" s="4" t="s">
        <v>18</v>
      </c>
      <c r="W108" s="4">
        <v>10</v>
      </c>
      <c r="X108" s="4">
        <v>10</v>
      </c>
      <c r="Y108" s="4">
        <v>10</v>
      </c>
      <c r="Z108" s="4">
        <v>10</v>
      </c>
      <c r="AA108" s="4">
        <v>10</v>
      </c>
      <c r="AB108" s="4" t="s">
        <v>18</v>
      </c>
      <c r="AC108" s="4">
        <v>13</v>
      </c>
      <c r="AD108" s="4">
        <v>16</v>
      </c>
      <c r="AE108" s="4">
        <v>19</v>
      </c>
      <c r="AF108" s="4">
        <v>22</v>
      </c>
      <c r="AG108" s="4">
        <v>22</v>
      </c>
      <c r="AH108" s="4">
        <v>29</v>
      </c>
      <c r="AI108" s="4">
        <v>32</v>
      </c>
      <c r="AJ108" s="4">
        <v>35</v>
      </c>
      <c r="AK108" s="14">
        <v>41</v>
      </c>
      <c r="AL108" s="23" t="s">
        <v>18</v>
      </c>
      <c r="AM108" s="23" t="s">
        <v>18</v>
      </c>
      <c r="AN108" s="23" t="s">
        <v>18</v>
      </c>
      <c r="AO108" s="9" t="s">
        <v>18</v>
      </c>
      <c r="AP108" s="9">
        <v>10</v>
      </c>
      <c r="AQ108" s="9" t="s">
        <v>18</v>
      </c>
      <c r="AR108" s="9">
        <v>10</v>
      </c>
      <c r="AS108" s="9">
        <v>10</v>
      </c>
      <c r="AT108" s="9">
        <v>10</v>
      </c>
      <c r="AU108" s="9">
        <v>13</v>
      </c>
      <c r="AV108" s="9">
        <v>16</v>
      </c>
      <c r="AW108" s="9" t="s">
        <v>18</v>
      </c>
      <c r="AX108" s="9">
        <v>22</v>
      </c>
      <c r="AY108" s="9">
        <v>29</v>
      </c>
      <c r="AZ108" s="9">
        <v>32</v>
      </c>
      <c r="BA108" s="9">
        <v>38</v>
      </c>
      <c r="BB108" s="9">
        <v>41</v>
      </c>
      <c r="BC108" s="9">
        <v>48</v>
      </c>
      <c r="BD108" s="9">
        <v>54</v>
      </c>
      <c r="BE108" s="9">
        <v>57</v>
      </c>
      <c r="BF108" s="24">
        <v>70</v>
      </c>
      <c r="BG108" s="35" t="s">
        <v>18</v>
      </c>
      <c r="BH108" s="35" t="s">
        <v>18</v>
      </c>
      <c r="BI108" s="35" t="s">
        <v>18</v>
      </c>
      <c r="BJ108" s="30" t="s">
        <v>18</v>
      </c>
      <c r="BK108" s="30">
        <v>10</v>
      </c>
      <c r="BL108" s="30" t="s">
        <v>18</v>
      </c>
      <c r="BM108" s="30">
        <v>10</v>
      </c>
      <c r="BN108" s="30">
        <v>13</v>
      </c>
      <c r="BO108" s="30">
        <v>16</v>
      </c>
      <c r="BP108" s="30">
        <v>19</v>
      </c>
      <c r="BQ108" s="30">
        <v>22</v>
      </c>
      <c r="BR108" s="30" t="s">
        <v>18</v>
      </c>
      <c r="BS108" s="30">
        <v>32</v>
      </c>
      <c r="BT108" s="30">
        <v>38</v>
      </c>
      <c r="BU108" s="30">
        <v>44</v>
      </c>
      <c r="BV108" s="30">
        <v>54</v>
      </c>
      <c r="BW108" s="30">
        <v>57</v>
      </c>
      <c r="BX108" s="30">
        <v>67</v>
      </c>
      <c r="BY108" s="30" t="s">
        <v>18</v>
      </c>
      <c r="BZ108" s="30" t="s">
        <v>18</v>
      </c>
      <c r="CA108" s="36" t="s">
        <v>18</v>
      </c>
    </row>
    <row r="109" spans="14:79" ht="13.5" thickBot="1">
      <c r="N109" s="139"/>
      <c r="O109" s="3" t="s">
        <v>146</v>
      </c>
      <c r="Q109" s="173" t="s">
        <v>18</v>
      </c>
      <c r="R109" s="4" t="s">
        <v>18</v>
      </c>
      <c r="S109" s="176" t="s">
        <v>18</v>
      </c>
      <c r="T109" s="8" t="s">
        <v>18</v>
      </c>
      <c r="U109" s="8" t="s">
        <v>18</v>
      </c>
      <c r="V109" s="8" t="s">
        <v>18</v>
      </c>
      <c r="W109" s="8">
        <v>20</v>
      </c>
      <c r="X109" s="8">
        <v>20</v>
      </c>
      <c r="Y109" s="8">
        <v>20</v>
      </c>
      <c r="Z109" s="8">
        <v>20</v>
      </c>
      <c r="AA109" s="8" t="s">
        <v>18</v>
      </c>
      <c r="AB109" s="8">
        <v>23</v>
      </c>
      <c r="AC109" s="8">
        <v>26</v>
      </c>
      <c r="AD109" s="8">
        <v>29</v>
      </c>
      <c r="AE109" s="8">
        <v>33</v>
      </c>
      <c r="AF109" s="8">
        <v>32</v>
      </c>
      <c r="AG109" s="8">
        <v>38</v>
      </c>
      <c r="AH109" s="8" t="s">
        <v>18</v>
      </c>
      <c r="AI109" s="8" t="s">
        <v>18</v>
      </c>
      <c r="AJ109" s="8" t="s">
        <v>18</v>
      </c>
      <c r="AK109" s="15" t="s">
        <v>18</v>
      </c>
      <c r="AL109" s="25" t="s">
        <v>18</v>
      </c>
      <c r="AM109" s="25" t="s">
        <v>18</v>
      </c>
      <c r="AN109" s="25" t="s">
        <v>18</v>
      </c>
      <c r="AO109" s="10" t="s">
        <v>18</v>
      </c>
      <c r="AP109" s="10" t="s">
        <v>18</v>
      </c>
      <c r="AQ109" s="10" t="s">
        <v>18</v>
      </c>
      <c r="AR109" s="10">
        <v>20</v>
      </c>
      <c r="AS109" s="10">
        <v>21</v>
      </c>
      <c r="AT109" s="10">
        <v>21</v>
      </c>
      <c r="AU109" s="10">
        <v>25</v>
      </c>
      <c r="AV109" s="10">
        <v>28</v>
      </c>
      <c r="AW109" s="10" t="s">
        <v>18</v>
      </c>
      <c r="AX109" s="10">
        <v>34</v>
      </c>
      <c r="AY109" s="10">
        <v>40</v>
      </c>
      <c r="AZ109" s="10">
        <v>44</v>
      </c>
      <c r="BA109" s="10">
        <v>50</v>
      </c>
      <c r="BB109" s="10">
        <v>53</v>
      </c>
      <c r="BC109" s="10">
        <v>60</v>
      </c>
      <c r="BD109" s="10" t="s">
        <v>18</v>
      </c>
      <c r="BE109" s="10" t="s">
        <v>18</v>
      </c>
      <c r="BF109" s="26" t="s">
        <v>18</v>
      </c>
      <c r="BG109" s="37" t="s">
        <v>18</v>
      </c>
      <c r="BH109" s="37" t="s">
        <v>18</v>
      </c>
      <c r="BI109" s="37" t="s">
        <v>18</v>
      </c>
      <c r="BJ109" s="31" t="s">
        <v>18</v>
      </c>
      <c r="BK109" s="31" t="s">
        <v>18</v>
      </c>
      <c r="BL109" s="31" t="s">
        <v>18</v>
      </c>
      <c r="BM109" s="31">
        <v>14</v>
      </c>
      <c r="BN109" s="31">
        <v>17</v>
      </c>
      <c r="BO109" s="31" t="s">
        <v>18</v>
      </c>
      <c r="BP109" s="31">
        <v>24</v>
      </c>
      <c r="BQ109" s="31">
        <v>27</v>
      </c>
      <c r="BR109" s="31" t="s">
        <v>18</v>
      </c>
      <c r="BS109" s="31">
        <v>37</v>
      </c>
      <c r="BT109" s="31">
        <v>43</v>
      </c>
      <c r="BU109" s="31">
        <v>49</v>
      </c>
      <c r="BV109" s="31">
        <v>59</v>
      </c>
      <c r="BW109" s="31">
        <v>62</v>
      </c>
      <c r="BX109" s="31">
        <v>71</v>
      </c>
      <c r="BY109" s="31" t="s">
        <v>18</v>
      </c>
      <c r="BZ109" s="31" t="s">
        <v>18</v>
      </c>
      <c r="CA109" s="38" t="s">
        <v>18</v>
      </c>
    </row>
    <row r="110" spans="14:79" ht="12.75">
      <c r="N110" s="139"/>
      <c r="O110" s="3" t="s">
        <v>187</v>
      </c>
      <c r="Q110" s="172" t="s">
        <v>18</v>
      </c>
      <c r="R110" s="4" t="s">
        <v>18</v>
      </c>
      <c r="S110" s="16" t="s">
        <v>24</v>
      </c>
      <c r="T110" s="43" t="s">
        <v>24</v>
      </c>
      <c r="U110" s="43" t="s">
        <v>24</v>
      </c>
      <c r="V110" s="43" t="s">
        <v>24</v>
      </c>
      <c r="W110" s="43" t="s">
        <v>24</v>
      </c>
      <c r="X110" s="43" t="s">
        <v>25</v>
      </c>
      <c r="Y110" s="43" t="s">
        <v>25</v>
      </c>
      <c r="Z110" s="43" t="s">
        <v>25</v>
      </c>
      <c r="AA110" s="43" t="s">
        <v>26</v>
      </c>
      <c r="AB110" s="43" t="s">
        <v>27</v>
      </c>
      <c r="AC110" s="43" t="s">
        <v>27</v>
      </c>
      <c r="AD110" s="43" t="s">
        <v>27</v>
      </c>
      <c r="AE110" s="43" t="s">
        <v>28</v>
      </c>
      <c r="AF110" s="43" t="s">
        <v>28</v>
      </c>
      <c r="AG110" s="43" t="s">
        <v>29</v>
      </c>
      <c r="AH110" s="43" t="s">
        <v>30</v>
      </c>
      <c r="AI110" s="43" t="s">
        <v>31</v>
      </c>
      <c r="AJ110" s="43" t="s">
        <v>32</v>
      </c>
      <c r="AK110" s="43" t="s">
        <v>33</v>
      </c>
      <c r="AL110" s="48" t="s">
        <v>18</v>
      </c>
      <c r="AM110" s="48" t="s">
        <v>18</v>
      </c>
      <c r="AN110" s="48" t="s">
        <v>24</v>
      </c>
      <c r="AO110" s="49" t="s">
        <v>25</v>
      </c>
      <c r="AP110" s="49" t="s">
        <v>25</v>
      </c>
      <c r="AQ110" s="49" t="s">
        <v>24</v>
      </c>
      <c r="AR110" s="49" t="s">
        <v>34</v>
      </c>
      <c r="AS110" s="49" t="s">
        <v>26</v>
      </c>
      <c r="AT110" s="49" t="s">
        <v>27</v>
      </c>
      <c r="AU110" s="49" t="s">
        <v>27</v>
      </c>
      <c r="AV110" s="49" t="s">
        <v>27</v>
      </c>
      <c r="AW110" s="49" t="s">
        <v>27</v>
      </c>
      <c r="AX110" s="49" t="s">
        <v>35</v>
      </c>
      <c r="AY110" s="49" t="s">
        <v>28</v>
      </c>
      <c r="AZ110" s="49" t="s">
        <v>30</v>
      </c>
      <c r="BA110" s="49" t="s">
        <v>31</v>
      </c>
      <c r="BB110" s="49" t="s">
        <v>32</v>
      </c>
      <c r="BC110" s="49" t="s">
        <v>33</v>
      </c>
      <c r="BD110" s="49" t="s">
        <v>36</v>
      </c>
      <c r="BE110" s="49" t="s">
        <v>36</v>
      </c>
      <c r="BF110" s="49" t="s">
        <v>37</v>
      </c>
      <c r="BG110" s="185" t="s">
        <v>18</v>
      </c>
      <c r="BH110" s="185" t="s">
        <v>18</v>
      </c>
      <c r="BI110" s="50" t="s">
        <v>24</v>
      </c>
      <c r="BJ110" s="51" t="s">
        <v>25</v>
      </c>
      <c r="BK110" s="51" t="s">
        <v>25</v>
      </c>
      <c r="BL110" s="51" t="s">
        <v>25</v>
      </c>
      <c r="BM110" s="51" t="s">
        <v>34</v>
      </c>
      <c r="BN110" s="51" t="s">
        <v>26</v>
      </c>
      <c r="BO110" s="51" t="s">
        <v>27</v>
      </c>
      <c r="BP110" s="51" t="s">
        <v>27</v>
      </c>
      <c r="BQ110" s="51" t="s">
        <v>38</v>
      </c>
      <c r="BR110" s="51" t="s">
        <v>39</v>
      </c>
      <c r="BS110" s="51" t="s">
        <v>29</v>
      </c>
      <c r="BT110" s="51" t="s">
        <v>40</v>
      </c>
      <c r="BU110" s="51" t="s">
        <v>41</v>
      </c>
      <c r="BV110" s="51" t="s">
        <v>33</v>
      </c>
      <c r="BW110" s="51" t="s">
        <v>42</v>
      </c>
      <c r="BX110" s="51" t="s">
        <v>43</v>
      </c>
      <c r="BY110" s="51" t="s">
        <v>44</v>
      </c>
      <c r="BZ110" s="51" t="s">
        <v>45</v>
      </c>
      <c r="CA110" s="52" t="s">
        <v>46</v>
      </c>
    </row>
    <row r="111" spans="14:79" ht="12.75">
      <c r="N111" s="139"/>
      <c r="O111" s="3" t="s">
        <v>147</v>
      </c>
      <c r="Q111" s="172" t="s">
        <v>18</v>
      </c>
      <c r="R111" s="4" t="s">
        <v>18</v>
      </c>
      <c r="S111" s="13">
        <v>89</v>
      </c>
      <c r="T111" s="4">
        <v>98</v>
      </c>
      <c r="U111" s="4">
        <v>108</v>
      </c>
      <c r="V111" s="4">
        <v>117</v>
      </c>
      <c r="W111" s="4">
        <v>127</v>
      </c>
      <c r="X111" s="4">
        <v>152</v>
      </c>
      <c r="Y111" s="4">
        <v>178</v>
      </c>
      <c r="Z111" s="4">
        <v>191</v>
      </c>
      <c r="AA111" s="4">
        <v>229</v>
      </c>
      <c r="AB111" s="4">
        <v>254</v>
      </c>
      <c r="AC111" s="4">
        <v>279</v>
      </c>
      <c r="AD111" s="4">
        <v>343</v>
      </c>
      <c r="AE111" s="4">
        <v>406</v>
      </c>
      <c r="AF111" s="4">
        <v>483</v>
      </c>
      <c r="AG111" s="4">
        <v>533</v>
      </c>
      <c r="AH111" s="4">
        <v>597</v>
      </c>
      <c r="AI111" s="4">
        <v>635</v>
      </c>
      <c r="AJ111" s="4">
        <v>699</v>
      </c>
      <c r="AK111" s="14">
        <v>813</v>
      </c>
      <c r="AL111" s="23" t="s">
        <v>18</v>
      </c>
      <c r="AM111" s="23" t="s">
        <v>18</v>
      </c>
      <c r="AN111" s="23">
        <v>95</v>
      </c>
      <c r="AO111" s="9">
        <v>117</v>
      </c>
      <c r="AP111" s="9">
        <v>124</v>
      </c>
      <c r="AQ111" s="9">
        <v>133</v>
      </c>
      <c r="AR111" s="9">
        <v>156</v>
      </c>
      <c r="AS111" s="9">
        <v>165</v>
      </c>
      <c r="AT111" s="9">
        <v>191</v>
      </c>
      <c r="AU111" s="9">
        <v>210</v>
      </c>
      <c r="AV111" s="9">
        <v>254</v>
      </c>
      <c r="AW111" s="9">
        <v>279</v>
      </c>
      <c r="AX111" s="9">
        <v>318</v>
      </c>
      <c r="AY111" s="9">
        <v>381</v>
      </c>
      <c r="AZ111" s="9">
        <v>445</v>
      </c>
      <c r="BA111" s="9">
        <v>521</v>
      </c>
      <c r="BB111" s="9">
        <v>584</v>
      </c>
      <c r="BC111" s="9">
        <v>648</v>
      </c>
      <c r="BD111" s="9">
        <v>711</v>
      </c>
      <c r="BE111" s="9">
        <v>775</v>
      </c>
      <c r="BF111" s="24">
        <v>914</v>
      </c>
      <c r="BG111" s="35" t="s">
        <v>18</v>
      </c>
      <c r="BH111" s="35" t="s">
        <v>18</v>
      </c>
      <c r="BI111" s="35">
        <v>95</v>
      </c>
      <c r="BJ111" s="30">
        <v>117</v>
      </c>
      <c r="BK111" s="30">
        <v>124</v>
      </c>
      <c r="BL111" s="30">
        <v>133</v>
      </c>
      <c r="BM111" s="30">
        <v>156</v>
      </c>
      <c r="BN111" s="30">
        <v>165</v>
      </c>
      <c r="BO111" s="30">
        <v>191</v>
      </c>
      <c r="BP111" s="30">
        <v>210</v>
      </c>
      <c r="BQ111" s="30">
        <v>273</v>
      </c>
      <c r="BR111" s="30">
        <v>330</v>
      </c>
      <c r="BS111" s="30">
        <v>356</v>
      </c>
      <c r="BT111" s="30">
        <v>419</v>
      </c>
      <c r="BU111" s="30">
        <v>508</v>
      </c>
      <c r="BV111" s="30">
        <v>559</v>
      </c>
      <c r="BW111" s="30">
        <v>603</v>
      </c>
      <c r="BX111" s="30">
        <v>686</v>
      </c>
      <c r="BY111" s="30">
        <v>743</v>
      </c>
      <c r="BZ111" s="30">
        <v>813</v>
      </c>
      <c r="CA111" s="36">
        <v>940</v>
      </c>
    </row>
    <row r="112" spans="14:79" ht="12.75">
      <c r="N112" s="139"/>
      <c r="O112" s="3" t="s">
        <v>148</v>
      </c>
      <c r="Q112" s="172" t="s">
        <v>18</v>
      </c>
      <c r="R112" s="4" t="s">
        <v>18</v>
      </c>
      <c r="S112" s="13">
        <v>48</v>
      </c>
      <c r="T112" s="4">
        <v>52</v>
      </c>
      <c r="U112" s="4">
        <v>56</v>
      </c>
      <c r="V112" s="4">
        <v>57</v>
      </c>
      <c r="W112" s="4">
        <v>62</v>
      </c>
      <c r="X112" s="4">
        <v>64</v>
      </c>
      <c r="Y112" s="4">
        <v>70</v>
      </c>
      <c r="Z112" s="4">
        <v>70</v>
      </c>
      <c r="AA112" s="4">
        <v>76</v>
      </c>
      <c r="AB112" s="4">
        <v>89</v>
      </c>
      <c r="AC112" s="4">
        <v>89</v>
      </c>
      <c r="AD112" s="4">
        <v>102</v>
      </c>
      <c r="AE112" s="4">
        <v>102</v>
      </c>
      <c r="AF112" s="4">
        <v>114</v>
      </c>
      <c r="AG112" s="4">
        <v>127</v>
      </c>
      <c r="AH112" s="4">
        <v>127</v>
      </c>
      <c r="AI112" s="4">
        <v>140</v>
      </c>
      <c r="AJ112" s="4">
        <v>144</v>
      </c>
      <c r="AK112" s="14">
        <v>152</v>
      </c>
      <c r="AL112" s="23" t="s">
        <v>18</v>
      </c>
      <c r="AM112" s="23" t="s">
        <v>18</v>
      </c>
      <c r="AN112" s="23">
        <v>52</v>
      </c>
      <c r="AO112" s="9">
        <v>57</v>
      </c>
      <c r="AP112" s="9">
        <v>62</v>
      </c>
      <c r="AQ112" s="9">
        <v>65</v>
      </c>
      <c r="AR112" s="9">
        <v>68</v>
      </c>
      <c r="AS112" s="9">
        <v>70</v>
      </c>
      <c r="AT112" s="9">
        <v>76</v>
      </c>
      <c r="AU112" s="9">
        <v>79</v>
      </c>
      <c r="AV112" s="9">
        <v>86</v>
      </c>
      <c r="AW112" s="9">
        <v>96</v>
      </c>
      <c r="AX112" s="9">
        <v>98</v>
      </c>
      <c r="AY112" s="9">
        <v>111</v>
      </c>
      <c r="AZ112" s="9">
        <v>117</v>
      </c>
      <c r="BA112" s="9">
        <v>130</v>
      </c>
      <c r="BB112" s="9">
        <v>143</v>
      </c>
      <c r="BC112" s="9">
        <v>146</v>
      </c>
      <c r="BD112" s="9">
        <v>159</v>
      </c>
      <c r="BE112" s="9">
        <v>162</v>
      </c>
      <c r="BF112" s="24">
        <v>168</v>
      </c>
      <c r="BG112" s="35" t="s">
        <v>18</v>
      </c>
      <c r="BH112" s="35" t="s">
        <v>18</v>
      </c>
      <c r="BI112" s="35">
        <v>59</v>
      </c>
      <c r="BJ112" s="30">
        <v>64</v>
      </c>
      <c r="BK112" s="30">
        <v>68</v>
      </c>
      <c r="BL112" s="30">
        <v>73</v>
      </c>
      <c r="BM112" s="30">
        <v>76</v>
      </c>
      <c r="BN112" s="30">
        <v>79</v>
      </c>
      <c r="BO112" s="30">
        <v>86</v>
      </c>
      <c r="BP112" s="30">
        <v>89</v>
      </c>
      <c r="BQ112" s="30">
        <v>108</v>
      </c>
      <c r="BR112" s="30">
        <v>121</v>
      </c>
      <c r="BS112" s="30">
        <v>124</v>
      </c>
      <c r="BT112" s="30">
        <v>140</v>
      </c>
      <c r="BU112" s="30">
        <v>159</v>
      </c>
      <c r="BV112" s="30">
        <v>162</v>
      </c>
      <c r="BW112" s="30">
        <v>171</v>
      </c>
      <c r="BX112" s="30">
        <v>184</v>
      </c>
      <c r="BY112" s="30">
        <v>191</v>
      </c>
      <c r="BZ112" s="30">
        <v>197</v>
      </c>
      <c r="CA112" s="36">
        <v>210</v>
      </c>
    </row>
    <row r="113" spans="14:79" ht="12.75">
      <c r="N113" s="139"/>
      <c r="O113" s="3" t="s">
        <v>149</v>
      </c>
      <c r="Q113" s="172" t="s">
        <v>18</v>
      </c>
      <c r="R113" s="4" t="s">
        <v>18</v>
      </c>
      <c r="S113" s="13" t="s">
        <v>18</v>
      </c>
      <c r="T113" s="4" t="s">
        <v>18</v>
      </c>
      <c r="U113" s="4">
        <v>38</v>
      </c>
      <c r="V113" s="4">
        <v>48</v>
      </c>
      <c r="W113" s="4">
        <v>57</v>
      </c>
      <c r="X113" s="4">
        <v>76</v>
      </c>
      <c r="Y113" s="4">
        <v>95</v>
      </c>
      <c r="Z113" s="4">
        <v>114</v>
      </c>
      <c r="AA113" s="4">
        <v>152</v>
      </c>
      <c r="AB113" s="4">
        <v>191</v>
      </c>
      <c r="AC113" s="4">
        <v>229</v>
      </c>
      <c r="AD113" s="4">
        <v>305</v>
      </c>
      <c r="AE113" s="4">
        <v>381</v>
      </c>
      <c r="AF113" s="4">
        <v>457</v>
      </c>
      <c r="AG113" s="4">
        <v>533</v>
      </c>
      <c r="AH113" s="4">
        <v>610</v>
      </c>
      <c r="AI113" s="4">
        <v>686</v>
      </c>
      <c r="AJ113" s="4">
        <v>762</v>
      </c>
      <c r="AK113" s="14">
        <v>914</v>
      </c>
      <c r="AL113" s="23" t="s">
        <v>18</v>
      </c>
      <c r="AM113" s="23" t="s">
        <v>18</v>
      </c>
      <c r="AN113" s="23" t="s">
        <v>18</v>
      </c>
      <c r="AO113" s="9" t="s">
        <v>18</v>
      </c>
      <c r="AP113" s="9">
        <v>38</v>
      </c>
      <c r="AQ113" s="9">
        <v>48</v>
      </c>
      <c r="AR113" s="9">
        <v>57</v>
      </c>
      <c r="AS113" s="9">
        <v>76</v>
      </c>
      <c r="AT113" s="9">
        <v>95</v>
      </c>
      <c r="AU113" s="9">
        <v>114</v>
      </c>
      <c r="AV113" s="9">
        <v>152</v>
      </c>
      <c r="AW113" s="9">
        <v>191</v>
      </c>
      <c r="AX113" s="9">
        <v>229</v>
      </c>
      <c r="AY113" s="9">
        <v>305</v>
      </c>
      <c r="AZ113" s="9">
        <v>381</v>
      </c>
      <c r="BA113" s="9">
        <v>457</v>
      </c>
      <c r="BB113" s="9">
        <v>533</v>
      </c>
      <c r="BC113" s="9">
        <v>610</v>
      </c>
      <c r="BD113" s="9">
        <v>686</v>
      </c>
      <c r="BE113" s="9">
        <v>762</v>
      </c>
      <c r="BF113" s="24">
        <v>914</v>
      </c>
      <c r="BG113" s="35" t="s">
        <v>18</v>
      </c>
      <c r="BH113" s="35" t="s">
        <v>18</v>
      </c>
      <c r="BI113" s="35" t="s">
        <v>18</v>
      </c>
      <c r="BJ113" s="30" t="s">
        <v>18</v>
      </c>
      <c r="BK113" s="30">
        <v>38</v>
      </c>
      <c r="BL113" s="30">
        <v>48</v>
      </c>
      <c r="BM113" s="30">
        <v>57</v>
      </c>
      <c r="BN113" s="30">
        <v>76</v>
      </c>
      <c r="BO113" s="30">
        <v>95</v>
      </c>
      <c r="BP113" s="30">
        <v>114</v>
      </c>
      <c r="BQ113" s="30">
        <v>152</v>
      </c>
      <c r="BR113" s="30">
        <v>191</v>
      </c>
      <c r="BS113" s="30">
        <v>229</v>
      </c>
      <c r="BT113" s="30">
        <v>305</v>
      </c>
      <c r="BU113" s="30">
        <v>381</v>
      </c>
      <c r="BV113" s="30">
        <v>457</v>
      </c>
      <c r="BW113" s="30">
        <v>533</v>
      </c>
      <c r="BX113" s="30">
        <v>610</v>
      </c>
      <c r="BY113" s="30">
        <v>686</v>
      </c>
      <c r="BZ113" s="30">
        <v>762</v>
      </c>
      <c r="CA113" s="36">
        <v>914</v>
      </c>
    </row>
    <row r="114" spans="14:79" ht="12.75">
      <c r="N114" s="139"/>
      <c r="O114" s="3" t="s">
        <v>188</v>
      </c>
      <c r="Q114" s="172" t="s">
        <v>18</v>
      </c>
      <c r="R114" s="4" t="s">
        <v>18</v>
      </c>
      <c r="S114" s="13" t="s">
        <v>18</v>
      </c>
      <c r="T114" s="4" t="s">
        <v>18</v>
      </c>
      <c r="U114" s="4">
        <v>94</v>
      </c>
      <c r="V114" s="4">
        <v>105</v>
      </c>
      <c r="W114" s="4">
        <v>119</v>
      </c>
      <c r="X114" s="4">
        <v>140</v>
      </c>
      <c r="Y114" s="4">
        <v>165</v>
      </c>
      <c r="Z114" s="4">
        <v>184</v>
      </c>
      <c r="AA114" s="4">
        <v>228</v>
      </c>
      <c r="AB114" s="4">
        <v>280</v>
      </c>
      <c r="AC114" s="4">
        <v>378</v>
      </c>
      <c r="AD114" s="4">
        <v>407</v>
      </c>
      <c r="AE114" s="4">
        <v>483</v>
      </c>
      <c r="AF114" s="4">
        <v>571</v>
      </c>
      <c r="AG114" s="4">
        <v>660</v>
      </c>
      <c r="AH114" s="4">
        <v>737</v>
      </c>
      <c r="AI114" s="4">
        <v>826</v>
      </c>
      <c r="AJ114" s="4">
        <v>906</v>
      </c>
      <c r="AK114" s="14">
        <v>1066</v>
      </c>
      <c r="AL114" s="23" t="s">
        <v>18</v>
      </c>
      <c r="AM114" s="23" t="s">
        <v>18</v>
      </c>
      <c r="AN114" s="23" t="s">
        <v>18</v>
      </c>
      <c r="AO114" s="9" t="s">
        <v>18</v>
      </c>
      <c r="AP114" s="9">
        <v>100</v>
      </c>
      <c r="AQ114" s="9">
        <v>113</v>
      </c>
      <c r="AR114" s="9">
        <v>125</v>
      </c>
      <c r="AS114" s="9">
        <v>146</v>
      </c>
      <c r="AT114" s="9">
        <v>171</v>
      </c>
      <c r="AU114" s="9">
        <v>193</v>
      </c>
      <c r="AV114" s="9">
        <v>238</v>
      </c>
      <c r="AW114" s="9">
        <v>289</v>
      </c>
      <c r="AX114" s="9">
        <v>327</v>
      </c>
      <c r="AY114" s="9">
        <v>416</v>
      </c>
      <c r="AZ114" s="9">
        <v>498</v>
      </c>
      <c r="BA114" s="9">
        <v>587</v>
      </c>
      <c r="BB114" s="9">
        <v>676</v>
      </c>
      <c r="BC114" s="9">
        <v>756</v>
      </c>
      <c r="BD114" s="9">
        <v>845</v>
      </c>
      <c r="BE114" s="9">
        <v>924</v>
      </c>
      <c r="BF114" s="24">
        <v>1082</v>
      </c>
      <c r="BG114" s="35" t="s">
        <v>18</v>
      </c>
      <c r="BH114" s="35" t="s">
        <v>18</v>
      </c>
      <c r="BI114" s="35" t="s">
        <v>18</v>
      </c>
      <c r="BJ114" s="30" t="s">
        <v>18</v>
      </c>
      <c r="BK114" s="30">
        <v>106</v>
      </c>
      <c r="BL114" s="30">
        <v>121</v>
      </c>
      <c r="BM114" s="30">
        <v>133</v>
      </c>
      <c r="BN114" s="30">
        <v>155</v>
      </c>
      <c r="BO114" s="30">
        <v>181</v>
      </c>
      <c r="BP114" s="30">
        <v>203</v>
      </c>
      <c r="BQ114" s="30">
        <v>260</v>
      </c>
      <c r="BR114" s="30">
        <v>312</v>
      </c>
      <c r="BS114" s="30">
        <v>353</v>
      </c>
      <c r="BT114" s="30">
        <v>445</v>
      </c>
      <c r="BU114" s="30">
        <v>540</v>
      </c>
      <c r="BV114" s="30">
        <v>619</v>
      </c>
      <c r="BW114" s="30">
        <v>704</v>
      </c>
      <c r="BX114" s="30">
        <v>794</v>
      </c>
      <c r="BY114" s="30">
        <v>877</v>
      </c>
      <c r="BZ114" s="30">
        <v>959</v>
      </c>
      <c r="CA114" s="36">
        <v>1124</v>
      </c>
    </row>
    <row r="115" spans="14:79" ht="12.75">
      <c r="N115" s="139"/>
      <c r="O115" s="3" t="s">
        <v>189</v>
      </c>
      <c r="Q115" s="172" t="s">
        <v>18</v>
      </c>
      <c r="R115" s="4" t="s">
        <v>18</v>
      </c>
      <c r="S115" s="13" t="s">
        <v>18</v>
      </c>
      <c r="T115" s="4" t="s">
        <v>18</v>
      </c>
      <c r="U115" s="4">
        <v>78</v>
      </c>
      <c r="V115" s="4">
        <v>83</v>
      </c>
      <c r="W115" s="4">
        <v>90</v>
      </c>
      <c r="X115" s="4">
        <v>99</v>
      </c>
      <c r="Y115" s="4">
        <v>114</v>
      </c>
      <c r="Z115" s="4">
        <v>121</v>
      </c>
      <c r="AA115" s="4">
        <v>140</v>
      </c>
      <c r="AB115" s="4">
        <v>168</v>
      </c>
      <c r="AC115" s="4">
        <v>184</v>
      </c>
      <c r="AD115" s="4">
        <v>229</v>
      </c>
      <c r="AE115" s="4">
        <v>261</v>
      </c>
      <c r="AF115" s="4">
        <v>305</v>
      </c>
      <c r="AG115" s="4">
        <v>349</v>
      </c>
      <c r="AH115" s="4">
        <v>381</v>
      </c>
      <c r="AI115" s="4">
        <v>426</v>
      </c>
      <c r="AJ115" s="4">
        <v>462</v>
      </c>
      <c r="AK115" s="14">
        <v>533</v>
      </c>
      <c r="AL115" s="23" t="s">
        <v>18</v>
      </c>
      <c r="AM115" s="23" t="s">
        <v>18</v>
      </c>
      <c r="AN115" s="23" t="s">
        <v>18</v>
      </c>
      <c r="AO115" s="9" t="s">
        <v>18</v>
      </c>
      <c r="AP115" s="9">
        <v>84</v>
      </c>
      <c r="AQ115" s="9">
        <v>90</v>
      </c>
      <c r="AR115" s="9">
        <v>97</v>
      </c>
      <c r="AS115" s="9">
        <v>105</v>
      </c>
      <c r="AT115" s="9">
        <v>120</v>
      </c>
      <c r="AU115" s="9">
        <v>130</v>
      </c>
      <c r="AV115" s="9">
        <v>150</v>
      </c>
      <c r="AW115" s="9">
        <v>177</v>
      </c>
      <c r="AX115" s="9">
        <v>193</v>
      </c>
      <c r="AY115" s="9">
        <v>238</v>
      </c>
      <c r="AZ115" s="9">
        <v>276</v>
      </c>
      <c r="BA115" s="9">
        <v>321</v>
      </c>
      <c r="BB115" s="9">
        <v>365</v>
      </c>
      <c r="BC115" s="9">
        <v>400</v>
      </c>
      <c r="BD115" s="9">
        <v>445</v>
      </c>
      <c r="BE115" s="9">
        <v>480</v>
      </c>
      <c r="BF115" s="24">
        <v>549</v>
      </c>
      <c r="BG115" s="35" t="s">
        <v>18</v>
      </c>
      <c r="BH115" s="35" t="s">
        <v>18</v>
      </c>
      <c r="BI115" s="35" t="s">
        <v>18</v>
      </c>
      <c r="BJ115" s="30" t="s">
        <v>18</v>
      </c>
      <c r="BK115" s="30">
        <v>90</v>
      </c>
      <c r="BL115" s="30">
        <v>98</v>
      </c>
      <c r="BM115" s="30">
        <v>105</v>
      </c>
      <c r="BN115" s="30">
        <v>114</v>
      </c>
      <c r="BO115" s="30">
        <v>130</v>
      </c>
      <c r="BP115" s="30">
        <v>140</v>
      </c>
      <c r="BQ115" s="30">
        <v>171</v>
      </c>
      <c r="BR115" s="30">
        <v>200</v>
      </c>
      <c r="BS115" s="30">
        <v>219</v>
      </c>
      <c r="BT115" s="30">
        <v>267</v>
      </c>
      <c r="BU115" s="30">
        <v>318</v>
      </c>
      <c r="BV115" s="30">
        <v>352</v>
      </c>
      <c r="BW115" s="30">
        <v>394</v>
      </c>
      <c r="BX115" s="30">
        <v>438</v>
      </c>
      <c r="BY115" s="30">
        <v>476</v>
      </c>
      <c r="BZ115" s="30">
        <v>515</v>
      </c>
      <c r="CA115" s="36">
        <v>591</v>
      </c>
    </row>
    <row r="116" spans="14:79" ht="12.75">
      <c r="N116" s="139"/>
      <c r="O116" s="3" t="s">
        <v>190</v>
      </c>
      <c r="Q116" s="172" t="s">
        <v>18</v>
      </c>
      <c r="R116" s="4" t="s">
        <v>18</v>
      </c>
      <c r="S116" s="13" t="s">
        <v>18</v>
      </c>
      <c r="T116" s="4" t="s">
        <v>18</v>
      </c>
      <c r="U116" s="4">
        <v>22</v>
      </c>
      <c r="V116" s="4">
        <v>25</v>
      </c>
      <c r="W116" s="4">
        <v>29</v>
      </c>
      <c r="X116" s="4">
        <v>35</v>
      </c>
      <c r="Y116" s="4">
        <v>44</v>
      </c>
      <c r="Z116" s="4">
        <v>51</v>
      </c>
      <c r="AA116" s="4">
        <v>64</v>
      </c>
      <c r="AB116" s="4">
        <v>79</v>
      </c>
      <c r="AC116" s="4">
        <v>95</v>
      </c>
      <c r="AD116" s="4">
        <v>127</v>
      </c>
      <c r="AE116" s="4">
        <v>159</v>
      </c>
      <c r="AF116" s="4">
        <v>191</v>
      </c>
      <c r="AG116" s="4">
        <v>222</v>
      </c>
      <c r="AH116" s="4">
        <v>254</v>
      </c>
      <c r="AI116" s="4">
        <v>286</v>
      </c>
      <c r="AJ116" s="4">
        <v>318</v>
      </c>
      <c r="AK116" s="14">
        <v>381</v>
      </c>
      <c r="AL116" s="23" t="s">
        <v>18</v>
      </c>
      <c r="AM116" s="23" t="s">
        <v>18</v>
      </c>
      <c r="AN116" s="23" t="s">
        <v>18</v>
      </c>
      <c r="AO116" s="9" t="s">
        <v>18</v>
      </c>
      <c r="AP116" s="9">
        <v>22</v>
      </c>
      <c r="AQ116" s="9">
        <v>25</v>
      </c>
      <c r="AR116" s="9">
        <v>29</v>
      </c>
      <c r="AS116" s="9">
        <v>35</v>
      </c>
      <c r="AT116" s="9">
        <v>44</v>
      </c>
      <c r="AU116" s="9">
        <v>51</v>
      </c>
      <c r="AV116" s="9">
        <v>64</v>
      </c>
      <c r="AW116" s="9">
        <v>79</v>
      </c>
      <c r="AX116" s="9">
        <v>95</v>
      </c>
      <c r="AY116" s="9">
        <v>127</v>
      </c>
      <c r="AZ116" s="9">
        <v>159</v>
      </c>
      <c r="BA116" s="9">
        <v>191</v>
      </c>
      <c r="BB116" s="9">
        <v>222</v>
      </c>
      <c r="BC116" s="9">
        <v>254</v>
      </c>
      <c r="BD116" s="9">
        <v>286</v>
      </c>
      <c r="BE116" s="9">
        <v>318</v>
      </c>
      <c r="BF116" s="24">
        <v>381</v>
      </c>
      <c r="BG116" s="35" t="s">
        <v>18</v>
      </c>
      <c r="BH116" s="35" t="s">
        <v>18</v>
      </c>
      <c r="BI116" s="35" t="s">
        <v>18</v>
      </c>
      <c r="BJ116" s="30" t="s">
        <v>18</v>
      </c>
      <c r="BK116" s="30">
        <v>22</v>
      </c>
      <c r="BL116" s="30">
        <v>25</v>
      </c>
      <c r="BM116" s="30">
        <v>29</v>
      </c>
      <c r="BN116" s="30">
        <v>35</v>
      </c>
      <c r="BO116" s="30">
        <v>44</v>
      </c>
      <c r="BP116" s="30">
        <v>51</v>
      </c>
      <c r="BQ116" s="30">
        <v>64</v>
      </c>
      <c r="BR116" s="30">
        <v>79</v>
      </c>
      <c r="BS116" s="30">
        <v>95</v>
      </c>
      <c r="BT116" s="30">
        <v>127</v>
      </c>
      <c r="BU116" s="30">
        <v>159</v>
      </c>
      <c r="BV116" s="30">
        <v>191</v>
      </c>
      <c r="BW116" s="30">
        <v>222</v>
      </c>
      <c r="BX116" s="30">
        <v>254</v>
      </c>
      <c r="BY116" s="30">
        <v>286</v>
      </c>
      <c r="BZ116" s="30">
        <v>318</v>
      </c>
      <c r="CA116" s="36">
        <v>381</v>
      </c>
    </row>
    <row r="117" spans="14:79" ht="12.75">
      <c r="N117" s="139"/>
      <c r="O117" s="3" t="s">
        <v>191</v>
      </c>
      <c r="Q117" s="172" t="s">
        <v>18</v>
      </c>
      <c r="R117" s="4" t="s">
        <v>18</v>
      </c>
      <c r="S117" s="13" t="s">
        <v>18</v>
      </c>
      <c r="T117" s="4" t="s">
        <v>18</v>
      </c>
      <c r="U117" s="4">
        <v>62</v>
      </c>
      <c r="V117" s="4">
        <v>64</v>
      </c>
      <c r="W117" s="4">
        <v>68</v>
      </c>
      <c r="X117" s="4">
        <v>70</v>
      </c>
      <c r="Y117" s="4">
        <v>76</v>
      </c>
      <c r="Z117" s="4">
        <v>76</v>
      </c>
      <c r="AA117" s="4">
        <v>83</v>
      </c>
      <c r="AB117" s="4">
        <v>95</v>
      </c>
      <c r="AC117" s="4">
        <v>95</v>
      </c>
      <c r="AD117" s="4">
        <v>108</v>
      </c>
      <c r="AE117" s="4">
        <v>108</v>
      </c>
      <c r="AF117" s="4">
        <v>121</v>
      </c>
      <c r="AG117" s="4">
        <v>133</v>
      </c>
      <c r="AH117" s="4">
        <v>133</v>
      </c>
      <c r="AI117" s="4">
        <v>146</v>
      </c>
      <c r="AJ117" s="4">
        <v>151</v>
      </c>
      <c r="AK117" s="14">
        <v>159</v>
      </c>
      <c r="AL117" s="23" t="s">
        <v>18</v>
      </c>
      <c r="AM117" s="23" t="s">
        <v>18</v>
      </c>
      <c r="AN117" s="23">
        <v>58</v>
      </c>
      <c r="AO117" s="9">
        <v>64</v>
      </c>
      <c r="AP117" s="9">
        <v>68</v>
      </c>
      <c r="AQ117" s="9">
        <v>71</v>
      </c>
      <c r="AR117" s="9">
        <v>75</v>
      </c>
      <c r="AS117" s="9">
        <v>78</v>
      </c>
      <c r="AT117" s="9">
        <v>84</v>
      </c>
      <c r="AU117" s="9">
        <v>87</v>
      </c>
      <c r="AV117" s="9">
        <v>94</v>
      </c>
      <c r="AW117" s="9">
        <v>106</v>
      </c>
      <c r="AX117" s="9">
        <v>106</v>
      </c>
      <c r="AY117" s="9">
        <v>119</v>
      </c>
      <c r="AZ117" s="9">
        <v>125</v>
      </c>
      <c r="BA117" s="9">
        <v>138</v>
      </c>
      <c r="BB117" s="9">
        <v>151</v>
      </c>
      <c r="BC117" s="9">
        <v>154</v>
      </c>
      <c r="BD117" s="9">
        <v>167</v>
      </c>
      <c r="BE117" s="9">
        <v>171</v>
      </c>
      <c r="BF117" s="24">
        <v>179</v>
      </c>
      <c r="BG117" s="35" t="s">
        <v>18</v>
      </c>
      <c r="BH117" s="35" t="s">
        <v>18</v>
      </c>
      <c r="BI117" s="35">
        <v>58</v>
      </c>
      <c r="BJ117" s="30">
        <v>67</v>
      </c>
      <c r="BK117" s="30">
        <v>68</v>
      </c>
      <c r="BL117" s="30">
        <v>73</v>
      </c>
      <c r="BM117" s="30">
        <v>76</v>
      </c>
      <c r="BN117" s="30">
        <v>81</v>
      </c>
      <c r="BO117" s="30">
        <v>87</v>
      </c>
      <c r="BP117" s="30">
        <v>90</v>
      </c>
      <c r="BQ117" s="30">
        <v>110</v>
      </c>
      <c r="BR117" s="30">
        <v>122</v>
      </c>
      <c r="BS117" s="30">
        <v>125</v>
      </c>
      <c r="BT117" s="30">
        <v>141</v>
      </c>
      <c r="BU117" s="30">
        <v>160</v>
      </c>
      <c r="BV117" s="30">
        <v>164</v>
      </c>
      <c r="BW117" s="30">
        <v>173</v>
      </c>
      <c r="BX117" s="30">
        <v>186</v>
      </c>
      <c r="BY117" s="30">
        <v>192</v>
      </c>
      <c r="BZ117" s="30">
        <v>200</v>
      </c>
      <c r="CA117" s="36">
        <v>214</v>
      </c>
    </row>
    <row r="118" spans="14:79" ht="12.75">
      <c r="N118" s="139"/>
      <c r="O118" s="3" t="s">
        <v>192</v>
      </c>
      <c r="Q118" s="172" t="s">
        <v>18</v>
      </c>
      <c r="R118" s="4" t="s">
        <v>18</v>
      </c>
      <c r="S118" s="13" t="s">
        <v>18</v>
      </c>
      <c r="T118" s="4" t="s">
        <v>18</v>
      </c>
      <c r="U118" s="4">
        <v>25</v>
      </c>
      <c r="V118" s="4">
        <v>32</v>
      </c>
      <c r="W118" s="4">
        <v>38</v>
      </c>
      <c r="X118" s="4">
        <v>51</v>
      </c>
      <c r="Y118" s="4">
        <v>64</v>
      </c>
      <c r="Z118" s="4">
        <v>76</v>
      </c>
      <c r="AA118" s="4">
        <v>102</v>
      </c>
      <c r="AB118" s="4">
        <v>127</v>
      </c>
      <c r="AC118" s="4">
        <v>152</v>
      </c>
      <c r="AD118" s="4">
        <v>203</v>
      </c>
      <c r="AE118" s="4">
        <v>254</v>
      </c>
      <c r="AF118" s="4">
        <v>305</v>
      </c>
      <c r="AG118" s="4">
        <v>356</v>
      </c>
      <c r="AH118" s="4">
        <v>406</v>
      </c>
      <c r="AI118" s="4">
        <v>457</v>
      </c>
      <c r="AJ118" s="4">
        <v>508</v>
      </c>
      <c r="AK118" s="14">
        <v>610</v>
      </c>
      <c r="AL118" s="23" t="s">
        <v>18</v>
      </c>
      <c r="AM118" s="23" t="s">
        <v>18</v>
      </c>
      <c r="AN118" s="23" t="s">
        <v>18</v>
      </c>
      <c r="AO118" s="9" t="s">
        <v>18</v>
      </c>
      <c r="AP118" s="9">
        <v>25</v>
      </c>
      <c r="AQ118" s="9">
        <v>32</v>
      </c>
      <c r="AR118" s="9">
        <v>38</v>
      </c>
      <c r="AS118" s="9">
        <v>51</v>
      </c>
      <c r="AT118" s="9">
        <v>64</v>
      </c>
      <c r="AU118" s="9">
        <v>76</v>
      </c>
      <c r="AV118" s="9">
        <v>102</v>
      </c>
      <c r="AW118" s="9">
        <v>127</v>
      </c>
      <c r="AX118" s="9">
        <v>152</v>
      </c>
      <c r="AY118" s="9">
        <v>203</v>
      </c>
      <c r="AZ118" s="9">
        <v>254</v>
      </c>
      <c r="BA118" s="9">
        <v>305</v>
      </c>
      <c r="BB118" s="9">
        <v>356</v>
      </c>
      <c r="BC118" s="9">
        <v>406</v>
      </c>
      <c r="BD118" s="9">
        <v>457</v>
      </c>
      <c r="BE118" s="9">
        <v>508</v>
      </c>
      <c r="BF118" s="24">
        <v>610</v>
      </c>
      <c r="BG118" s="35" t="s">
        <v>18</v>
      </c>
      <c r="BH118" s="35" t="s">
        <v>18</v>
      </c>
      <c r="BI118" s="35" t="s">
        <v>18</v>
      </c>
      <c r="BJ118" s="30" t="s">
        <v>18</v>
      </c>
      <c r="BK118" s="30">
        <v>25</v>
      </c>
      <c r="BL118" s="30">
        <v>32</v>
      </c>
      <c r="BM118" s="30">
        <v>38</v>
      </c>
      <c r="BN118" s="30">
        <v>51</v>
      </c>
      <c r="BO118" s="30">
        <v>64</v>
      </c>
      <c r="BP118" s="30">
        <v>76</v>
      </c>
      <c r="BQ118" s="30">
        <v>102</v>
      </c>
      <c r="BR118" s="30">
        <v>127</v>
      </c>
      <c r="BS118" s="30">
        <v>152</v>
      </c>
      <c r="BT118" s="30">
        <v>203</v>
      </c>
      <c r="BU118" s="30">
        <v>254</v>
      </c>
      <c r="BV118" s="30">
        <v>305</v>
      </c>
      <c r="BW118" s="30">
        <v>356</v>
      </c>
      <c r="BX118" s="30">
        <v>406</v>
      </c>
      <c r="BY118" s="30">
        <v>457</v>
      </c>
      <c r="BZ118" s="30">
        <v>508</v>
      </c>
      <c r="CA118" s="36">
        <v>610</v>
      </c>
    </row>
    <row r="119" spans="14:79" ht="12.75">
      <c r="N119" s="139"/>
      <c r="O119" s="3" t="s">
        <v>193</v>
      </c>
      <c r="Q119" s="172" t="s">
        <v>18</v>
      </c>
      <c r="R119" s="4" t="s">
        <v>18</v>
      </c>
      <c r="S119" s="13" t="s">
        <v>18</v>
      </c>
      <c r="T119" s="4" t="s">
        <v>18</v>
      </c>
      <c r="U119" s="4">
        <v>60</v>
      </c>
      <c r="V119" s="4" t="s">
        <v>18</v>
      </c>
      <c r="W119" s="4">
        <v>70</v>
      </c>
      <c r="X119" s="4">
        <v>75</v>
      </c>
      <c r="Y119" s="4">
        <v>80</v>
      </c>
      <c r="Z119" s="4">
        <v>85</v>
      </c>
      <c r="AA119" s="4">
        <v>90</v>
      </c>
      <c r="AB119" s="4" t="s">
        <v>18</v>
      </c>
      <c r="AC119" s="4">
        <v>95</v>
      </c>
      <c r="AD119" s="4">
        <v>105</v>
      </c>
      <c r="AE119" s="4">
        <v>120</v>
      </c>
      <c r="AF119" s="4">
        <v>120</v>
      </c>
      <c r="AG119" s="4">
        <v>135</v>
      </c>
      <c r="AH119" s="4">
        <v>145</v>
      </c>
      <c r="AI119" s="4">
        <v>155</v>
      </c>
      <c r="AJ119" s="4">
        <v>165</v>
      </c>
      <c r="AK119" s="14">
        <v>185</v>
      </c>
      <c r="AL119" s="23" t="s">
        <v>18</v>
      </c>
      <c r="AM119" s="23" t="s">
        <v>18</v>
      </c>
      <c r="AN119" s="23" t="s">
        <v>18</v>
      </c>
      <c r="AO119" s="9" t="s">
        <v>18</v>
      </c>
      <c r="AP119" s="9">
        <v>75</v>
      </c>
      <c r="AQ119" s="9" t="s">
        <v>18</v>
      </c>
      <c r="AR119" s="9">
        <v>80</v>
      </c>
      <c r="AS119" s="9">
        <v>80</v>
      </c>
      <c r="AT119" s="9">
        <v>95</v>
      </c>
      <c r="AU119" s="9">
        <v>105</v>
      </c>
      <c r="AV119" s="9">
        <v>110</v>
      </c>
      <c r="AW119" s="9" t="s">
        <v>18</v>
      </c>
      <c r="AX119" s="9">
        <v>125</v>
      </c>
      <c r="AY119" s="9">
        <v>145</v>
      </c>
      <c r="AZ119" s="9">
        <v>165</v>
      </c>
      <c r="BA119" s="9">
        <v>180</v>
      </c>
      <c r="BB119" s="9">
        <v>200</v>
      </c>
      <c r="BC119" s="9">
        <v>210</v>
      </c>
      <c r="BD119" s="9">
        <v>220</v>
      </c>
      <c r="BE119" s="9">
        <v>230</v>
      </c>
      <c r="BF119" s="24">
        <v>270</v>
      </c>
      <c r="BG119" s="35" t="s">
        <v>18</v>
      </c>
      <c r="BH119" s="35" t="s">
        <v>18</v>
      </c>
      <c r="BI119" s="35" t="s">
        <v>18</v>
      </c>
      <c r="BJ119" s="30" t="s">
        <v>18</v>
      </c>
      <c r="BK119" s="30" t="s">
        <v>18</v>
      </c>
      <c r="BL119" s="30" t="s">
        <v>18</v>
      </c>
      <c r="BM119" s="30" t="s">
        <v>18</v>
      </c>
      <c r="BN119" s="30" t="s">
        <v>18</v>
      </c>
      <c r="BO119" s="30" t="s">
        <v>18</v>
      </c>
      <c r="BP119" s="30" t="s">
        <v>18</v>
      </c>
      <c r="BQ119" s="30" t="s">
        <v>18</v>
      </c>
      <c r="BR119" s="30" t="s">
        <v>18</v>
      </c>
      <c r="BS119" s="30" t="s">
        <v>18</v>
      </c>
      <c r="BT119" s="30" t="s">
        <v>18</v>
      </c>
      <c r="BU119" s="30" t="s">
        <v>18</v>
      </c>
      <c r="BV119" s="30" t="s">
        <v>18</v>
      </c>
      <c r="BW119" s="30" t="s">
        <v>18</v>
      </c>
      <c r="BX119" s="30" t="s">
        <v>18</v>
      </c>
      <c r="BY119" s="30" t="s">
        <v>18</v>
      </c>
      <c r="BZ119" s="30" t="s">
        <v>18</v>
      </c>
      <c r="CA119" s="36" t="s">
        <v>18</v>
      </c>
    </row>
    <row r="120" spans="14:79" ht="12.75">
      <c r="N120" s="139"/>
      <c r="O120" s="3"/>
      <c r="Q120" s="172" t="s">
        <v>18</v>
      </c>
      <c r="R120" s="4" t="s">
        <v>18</v>
      </c>
      <c r="S120" s="13">
        <v>45</v>
      </c>
      <c r="T120" s="4">
        <v>50</v>
      </c>
      <c r="U120" s="4">
        <v>50</v>
      </c>
      <c r="V120" s="4">
        <v>60</v>
      </c>
      <c r="W120" s="4">
        <v>60</v>
      </c>
      <c r="X120" s="4">
        <v>70</v>
      </c>
      <c r="Y120" s="4">
        <v>75</v>
      </c>
      <c r="Z120" s="4">
        <v>75</v>
      </c>
      <c r="AA120" s="4">
        <v>75</v>
      </c>
      <c r="AB120" s="4">
        <v>85</v>
      </c>
      <c r="AC120" s="4">
        <v>85</v>
      </c>
      <c r="AD120" s="4">
        <v>90</v>
      </c>
      <c r="AE120" s="4">
        <v>95</v>
      </c>
      <c r="AF120" s="4">
        <v>100</v>
      </c>
      <c r="AG120" s="4">
        <v>110</v>
      </c>
      <c r="AH120" s="4">
        <v>115</v>
      </c>
      <c r="AI120" s="4">
        <v>120</v>
      </c>
      <c r="AJ120" s="4">
        <v>135</v>
      </c>
      <c r="AK120" s="14">
        <v>145</v>
      </c>
      <c r="AL120" s="23" t="s">
        <v>18</v>
      </c>
      <c r="AM120" s="23" t="s">
        <v>18</v>
      </c>
      <c r="AN120" s="23">
        <v>50</v>
      </c>
      <c r="AO120" s="9">
        <v>65</v>
      </c>
      <c r="AP120" s="9">
        <v>65</v>
      </c>
      <c r="AQ120" s="9">
        <v>70</v>
      </c>
      <c r="AR120" s="9">
        <v>75</v>
      </c>
      <c r="AS120" s="9">
        <v>75</v>
      </c>
      <c r="AT120" s="9">
        <v>85</v>
      </c>
      <c r="AU120" s="9">
        <v>90</v>
      </c>
      <c r="AV120" s="9">
        <v>95</v>
      </c>
      <c r="AW120" s="9">
        <v>100</v>
      </c>
      <c r="AX120" s="9">
        <v>110</v>
      </c>
      <c r="AY120" s="9">
        <v>120</v>
      </c>
      <c r="AZ120" s="9">
        <v>135</v>
      </c>
      <c r="BA120" s="9">
        <v>145</v>
      </c>
      <c r="BB120" s="9">
        <v>155</v>
      </c>
      <c r="BC120" s="9">
        <v>165</v>
      </c>
      <c r="BD120" s="9">
        <v>175</v>
      </c>
      <c r="BE120" s="9">
        <v>180</v>
      </c>
      <c r="BF120" s="24">
        <v>200</v>
      </c>
      <c r="BG120" s="35" t="s">
        <v>18</v>
      </c>
      <c r="BH120" s="35" t="s">
        <v>18</v>
      </c>
      <c r="BI120" s="35" t="s">
        <v>18</v>
      </c>
      <c r="BJ120" s="30" t="s">
        <v>18</v>
      </c>
      <c r="BK120" s="30" t="s">
        <v>18</v>
      </c>
      <c r="BL120" s="30" t="s">
        <v>18</v>
      </c>
      <c r="BM120" s="30" t="s">
        <v>18</v>
      </c>
      <c r="BN120" s="30" t="s">
        <v>18</v>
      </c>
      <c r="BO120" s="30" t="s">
        <v>18</v>
      </c>
      <c r="BP120" s="30" t="s">
        <v>18</v>
      </c>
      <c r="BQ120" s="30" t="s">
        <v>18</v>
      </c>
      <c r="BR120" s="30" t="s">
        <v>18</v>
      </c>
      <c r="BS120" s="30" t="s">
        <v>18</v>
      </c>
      <c r="BT120" s="30" t="s">
        <v>18</v>
      </c>
      <c r="BU120" s="30" t="s">
        <v>18</v>
      </c>
      <c r="BV120" s="30" t="s">
        <v>18</v>
      </c>
      <c r="BW120" s="30" t="s">
        <v>18</v>
      </c>
      <c r="BX120" s="30" t="s">
        <v>18</v>
      </c>
      <c r="BY120" s="30" t="s">
        <v>18</v>
      </c>
      <c r="BZ120" s="30" t="s">
        <v>18</v>
      </c>
      <c r="CA120" s="36" t="s">
        <v>18</v>
      </c>
    </row>
    <row r="121" spans="14:79" ht="12.75">
      <c r="N121" s="139"/>
      <c r="O121" s="3"/>
      <c r="Q121" s="172" t="s">
        <v>18</v>
      </c>
      <c r="R121" s="4" t="s">
        <v>18</v>
      </c>
      <c r="S121" s="13">
        <v>70</v>
      </c>
      <c r="T121" s="4">
        <v>70</v>
      </c>
      <c r="U121" s="4">
        <v>70</v>
      </c>
      <c r="V121" s="4">
        <v>70</v>
      </c>
      <c r="W121" s="4">
        <v>80</v>
      </c>
      <c r="X121" s="4">
        <v>90</v>
      </c>
      <c r="Y121" s="4">
        <v>90</v>
      </c>
      <c r="Z121" s="4">
        <v>100</v>
      </c>
      <c r="AA121" s="4">
        <v>100</v>
      </c>
      <c r="AB121" s="4">
        <v>100</v>
      </c>
      <c r="AC121" s="4">
        <v>110</v>
      </c>
      <c r="AD121" s="4">
        <v>110</v>
      </c>
      <c r="AE121" s="4">
        <v>120</v>
      </c>
      <c r="AF121" s="4">
        <v>130</v>
      </c>
      <c r="AG121" s="4">
        <v>140</v>
      </c>
      <c r="AH121" s="4">
        <v>140</v>
      </c>
      <c r="AI121" s="4">
        <v>150</v>
      </c>
      <c r="AJ121" s="4">
        <v>160</v>
      </c>
      <c r="AK121" s="14">
        <v>180</v>
      </c>
      <c r="AL121" s="23" t="s">
        <v>18</v>
      </c>
      <c r="AM121" s="23" t="s">
        <v>18</v>
      </c>
      <c r="AN121" s="23">
        <v>70</v>
      </c>
      <c r="AO121" s="9">
        <v>80</v>
      </c>
      <c r="AP121" s="9">
        <v>80</v>
      </c>
      <c r="AQ121" s="9">
        <v>90</v>
      </c>
      <c r="AR121" s="9">
        <v>100</v>
      </c>
      <c r="AS121" s="9">
        <v>90</v>
      </c>
      <c r="AT121" s="9">
        <v>110</v>
      </c>
      <c r="AU121" s="9">
        <v>110</v>
      </c>
      <c r="AV121" s="9">
        <v>120</v>
      </c>
      <c r="AW121" s="9">
        <v>120</v>
      </c>
      <c r="AX121" s="9">
        <v>130</v>
      </c>
      <c r="AY121" s="9">
        <v>140</v>
      </c>
      <c r="AZ121" s="9">
        <v>160</v>
      </c>
      <c r="BA121" s="9">
        <v>170</v>
      </c>
      <c r="BB121" s="9">
        <v>180</v>
      </c>
      <c r="BC121" s="9">
        <v>190</v>
      </c>
      <c r="BD121" s="9">
        <v>200</v>
      </c>
      <c r="BE121" s="9">
        <v>210</v>
      </c>
      <c r="BF121" s="24">
        <v>240</v>
      </c>
      <c r="BG121" s="35" t="s">
        <v>18</v>
      </c>
      <c r="BH121" s="35" t="s">
        <v>18</v>
      </c>
      <c r="BI121" s="35">
        <v>80</v>
      </c>
      <c r="BJ121" s="30">
        <v>90</v>
      </c>
      <c r="BK121" s="30">
        <v>100</v>
      </c>
      <c r="BL121" s="30">
        <v>100</v>
      </c>
      <c r="BM121" s="30">
        <v>110</v>
      </c>
      <c r="BN121" s="30">
        <v>110</v>
      </c>
      <c r="BO121" s="30">
        <v>120</v>
      </c>
      <c r="BP121" s="30">
        <v>130</v>
      </c>
      <c r="BQ121" s="30">
        <v>150</v>
      </c>
      <c r="BR121" s="30">
        <v>170</v>
      </c>
      <c r="BS121" s="30">
        <v>180</v>
      </c>
      <c r="BT121" s="30">
        <v>200</v>
      </c>
      <c r="BU121" s="30">
        <v>220</v>
      </c>
      <c r="BV121" s="30">
        <v>230</v>
      </c>
      <c r="BW121" s="30">
        <v>240</v>
      </c>
      <c r="BX121" s="30">
        <v>260</v>
      </c>
      <c r="BY121" s="30">
        <v>280</v>
      </c>
      <c r="BZ121" s="30">
        <v>290</v>
      </c>
      <c r="CA121" s="36">
        <v>330</v>
      </c>
    </row>
    <row r="122" spans="14:79" ht="12.75">
      <c r="N122" s="139"/>
      <c r="O122" s="3"/>
      <c r="Q122" s="172" t="s">
        <v>18</v>
      </c>
      <c r="R122" s="4" t="s">
        <v>18</v>
      </c>
      <c r="S122" s="13" t="s">
        <v>18</v>
      </c>
      <c r="T122" s="4" t="s">
        <v>18</v>
      </c>
      <c r="U122" s="4">
        <v>80</v>
      </c>
      <c r="V122" s="4">
        <v>90</v>
      </c>
      <c r="W122" s="4">
        <v>90</v>
      </c>
      <c r="X122" s="4">
        <v>100</v>
      </c>
      <c r="Y122" s="4">
        <v>100</v>
      </c>
      <c r="Z122" s="4">
        <v>100</v>
      </c>
      <c r="AA122" s="4">
        <v>110</v>
      </c>
      <c r="AB122" s="4">
        <v>110</v>
      </c>
      <c r="AC122" s="4">
        <v>120</v>
      </c>
      <c r="AD122" s="4">
        <v>120</v>
      </c>
      <c r="AE122" s="4">
        <v>130</v>
      </c>
      <c r="AF122" s="4">
        <v>140</v>
      </c>
      <c r="AG122" s="4">
        <v>150</v>
      </c>
      <c r="AH122" s="4">
        <v>150</v>
      </c>
      <c r="AI122" s="4">
        <v>160</v>
      </c>
      <c r="AJ122" s="4">
        <v>180</v>
      </c>
      <c r="AK122" s="14">
        <v>190</v>
      </c>
      <c r="AL122" s="23" t="s">
        <v>18</v>
      </c>
      <c r="AM122" s="23" t="s">
        <v>18</v>
      </c>
      <c r="AN122" s="23">
        <v>80</v>
      </c>
      <c r="AO122" s="9">
        <v>90</v>
      </c>
      <c r="AP122" s="9">
        <v>100</v>
      </c>
      <c r="AQ122" s="9">
        <v>100</v>
      </c>
      <c r="AR122" s="9">
        <v>110</v>
      </c>
      <c r="AS122" s="9">
        <v>110</v>
      </c>
      <c r="AT122" s="9">
        <v>120</v>
      </c>
      <c r="AU122" s="9">
        <v>130</v>
      </c>
      <c r="AV122" s="9">
        <v>130</v>
      </c>
      <c r="AW122" s="9">
        <v>140</v>
      </c>
      <c r="AX122" s="9">
        <v>140</v>
      </c>
      <c r="AY122" s="9">
        <v>160</v>
      </c>
      <c r="AZ122" s="9">
        <v>180</v>
      </c>
      <c r="BA122" s="9">
        <v>190</v>
      </c>
      <c r="BB122" s="9">
        <v>200</v>
      </c>
      <c r="BC122" s="9">
        <v>210</v>
      </c>
      <c r="BD122" s="9">
        <v>220</v>
      </c>
      <c r="BE122" s="9">
        <v>230</v>
      </c>
      <c r="BF122" s="24">
        <v>260</v>
      </c>
      <c r="BG122" s="35" t="s">
        <v>18</v>
      </c>
      <c r="BH122" s="35" t="s">
        <v>18</v>
      </c>
      <c r="BI122" s="35">
        <v>80</v>
      </c>
      <c r="BJ122" s="30">
        <v>90</v>
      </c>
      <c r="BK122" s="30">
        <v>100</v>
      </c>
      <c r="BL122" s="30">
        <v>100</v>
      </c>
      <c r="BM122" s="30">
        <v>110</v>
      </c>
      <c r="BN122" s="30">
        <v>110</v>
      </c>
      <c r="BO122" s="30">
        <v>130</v>
      </c>
      <c r="BP122" s="30">
        <v>150</v>
      </c>
      <c r="BQ122" s="30">
        <v>150</v>
      </c>
      <c r="BR122" s="30">
        <v>170</v>
      </c>
      <c r="BS122" s="30">
        <v>180</v>
      </c>
      <c r="BT122" s="30">
        <v>200</v>
      </c>
      <c r="BU122" s="30">
        <v>220</v>
      </c>
      <c r="BV122" s="30">
        <v>230</v>
      </c>
      <c r="BW122" s="30">
        <v>240</v>
      </c>
      <c r="BX122" s="30">
        <v>260</v>
      </c>
      <c r="BY122" s="30">
        <v>280</v>
      </c>
      <c r="BZ122" s="30">
        <v>300</v>
      </c>
      <c r="CA122" s="36">
        <v>340</v>
      </c>
    </row>
    <row r="123" spans="14:79" ht="12.75">
      <c r="N123" s="139"/>
      <c r="O123" s="3"/>
      <c r="Q123" s="172" t="s">
        <v>18</v>
      </c>
      <c r="R123" s="4" t="s">
        <v>18</v>
      </c>
      <c r="S123" s="13">
        <v>70</v>
      </c>
      <c r="T123" s="4">
        <v>80</v>
      </c>
      <c r="U123" s="4">
        <v>80</v>
      </c>
      <c r="V123" s="4">
        <v>80</v>
      </c>
      <c r="W123" s="4">
        <v>90</v>
      </c>
      <c r="X123" s="4">
        <v>100</v>
      </c>
      <c r="Y123" s="4">
        <v>100</v>
      </c>
      <c r="Z123" s="4">
        <v>110</v>
      </c>
      <c r="AA123" s="4">
        <v>110</v>
      </c>
      <c r="AB123" s="4">
        <v>120</v>
      </c>
      <c r="AC123" s="4">
        <v>120</v>
      </c>
      <c r="AD123" s="4">
        <v>130</v>
      </c>
      <c r="AE123" s="4">
        <v>140</v>
      </c>
      <c r="AF123" s="4">
        <v>150</v>
      </c>
      <c r="AG123" s="4">
        <v>160</v>
      </c>
      <c r="AH123" s="4">
        <v>170</v>
      </c>
      <c r="AI123" s="4">
        <v>180</v>
      </c>
      <c r="AJ123" s="4">
        <v>190</v>
      </c>
      <c r="AK123" s="14">
        <v>210</v>
      </c>
      <c r="AL123" s="23" t="s">
        <v>18</v>
      </c>
      <c r="AM123" s="23" t="s">
        <v>18</v>
      </c>
      <c r="AN123" s="23">
        <v>80</v>
      </c>
      <c r="AO123" s="9">
        <v>90</v>
      </c>
      <c r="AP123" s="9">
        <v>90</v>
      </c>
      <c r="AQ123" s="9">
        <v>100</v>
      </c>
      <c r="AR123" s="9">
        <v>110</v>
      </c>
      <c r="AS123" s="9">
        <v>110</v>
      </c>
      <c r="AT123" s="9">
        <v>120</v>
      </c>
      <c r="AU123" s="9">
        <v>130</v>
      </c>
      <c r="AV123" s="9">
        <v>140</v>
      </c>
      <c r="AW123" s="9">
        <v>150</v>
      </c>
      <c r="AX123" s="9">
        <v>150</v>
      </c>
      <c r="AY123" s="9">
        <v>170</v>
      </c>
      <c r="AZ123" s="9">
        <v>190</v>
      </c>
      <c r="BA123" s="9">
        <v>210</v>
      </c>
      <c r="BB123" s="9">
        <v>220</v>
      </c>
      <c r="BC123" s="9">
        <v>230</v>
      </c>
      <c r="BD123" s="9">
        <v>240</v>
      </c>
      <c r="BE123" s="9">
        <v>260</v>
      </c>
      <c r="BF123" s="24">
        <v>290</v>
      </c>
      <c r="BG123" s="35" t="s">
        <v>18</v>
      </c>
      <c r="BH123" s="35" t="s">
        <v>18</v>
      </c>
      <c r="BI123" s="35">
        <v>90</v>
      </c>
      <c r="BJ123" s="30">
        <v>100</v>
      </c>
      <c r="BK123" s="30">
        <v>110</v>
      </c>
      <c r="BL123" s="30">
        <v>110</v>
      </c>
      <c r="BM123" s="30">
        <v>130</v>
      </c>
      <c r="BN123" s="30">
        <v>130</v>
      </c>
      <c r="BO123" s="30">
        <v>140</v>
      </c>
      <c r="BP123" s="30">
        <v>150</v>
      </c>
      <c r="BQ123" s="30">
        <v>170</v>
      </c>
      <c r="BR123" s="30">
        <v>190</v>
      </c>
      <c r="BS123" s="30">
        <v>200</v>
      </c>
      <c r="BT123" s="30">
        <v>230</v>
      </c>
      <c r="BU123" s="30">
        <v>260</v>
      </c>
      <c r="BV123" s="30">
        <v>270</v>
      </c>
      <c r="BW123" s="30">
        <v>280</v>
      </c>
      <c r="BX123" s="30">
        <v>310</v>
      </c>
      <c r="BY123" s="30">
        <v>330</v>
      </c>
      <c r="BZ123" s="30">
        <v>360</v>
      </c>
      <c r="CA123" s="36">
        <v>410</v>
      </c>
    </row>
    <row r="124" spans="14:79" ht="13.5" thickBot="1">
      <c r="N124" s="139"/>
      <c r="O124" s="3"/>
      <c r="Q124" s="172" t="s">
        <v>18</v>
      </c>
      <c r="R124" s="4" t="s">
        <v>18</v>
      </c>
      <c r="S124" s="17" t="s">
        <v>18</v>
      </c>
      <c r="T124" s="18" t="s">
        <v>18</v>
      </c>
      <c r="U124" s="18" t="s">
        <v>18</v>
      </c>
      <c r="V124" s="18" t="s">
        <v>18</v>
      </c>
      <c r="W124" s="18" t="s">
        <v>18</v>
      </c>
      <c r="X124" s="18" t="s">
        <v>18</v>
      </c>
      <c r="Y124" s="18" t="s">
        <v>18</v>
      </c>
      <c r="Z124" s="18" t="s">
        <v>18</v>
      </c>
      <c r="AA124" s="18" t="s">
        <v>18</v>
      </c>
      <c r="AB124" s="18" t="s">
        <v>18</v>
      </c>
      <c r="AC124" s="18" t="s">
        <v>18</v>
      </c>
      <c r="AD124" s="18" t="s">
        <v>18</v>
      </c>
      <c r="AE124" s="18" t="s">
        <v>18</v>
      </c>
      <c r="AF124" s="18" t="s">
        <v>18</v>
      </c>
      <c r="AG124" s="18" t="s">
        <v>18</v>
      </c>
      <c r="AH124" s="18" t="s">
        <v>18</v>
      </c>
      <c r="AI124" s="18" t="s">
        <v>18</v>
      </c>
      <c r="AJ124" s="18" t="s">
        <v>18</v>
      </c>
      <c r="AK124" s="19" t="s">
        <v>18</v>
      </c>
      <c r="AL124" s="27" t="s">
        <v>18</v>
      </c>
      <c r="AM124" s="27" t="s">
        <v>18</v>
      </c>
      <c r="AN124" s="27">
        <v>100</v>
      </c>
      <c r="AO124" s="28">
        <v>120</v>
      </c>
      <c r="AP124" s="28">
        <v>120</v>
      </c>
      <c r="AQ124" s="28">
        <v>130</v>
      </c>
      <c r="AR124" s="28">
        <v>140</v>
      </c>
      <c r="AS124" s="28">
        <v>140</v>
      </c>
      <c r="AT124" s="28">
        <v>150</v>
      </c>
      <c r="AU124" s="28">
        <v>160</v>
      </c>
      <c r="AV124" s="28">
        <v>180</v>
      </c>
      <c r="AW124" s="28">
        <v>180</v>
      </c>
      <c r="AX124" s="28">
        <v>180</v>
      </c>
      <c r="AY124" s="28">
        <v>200</v>
      </c>
      <c r="AZ124" s="28">
        <v>230</v>
      </c>
      <c r="BA124" s="28">
        <v>240</v>
      </c>
      <c r="BB124" s="28">
        <v>250</v>
      </c>
      <c r="BC124" s="28">
        <v>270</v>
      </c>
      <c r="BD124" s="28">
        <v>280</v>
      </c>
      <c r="BE124" s="28">
        <v>300</v>
      </c>
      <c r="BF124" s="29">
        <v>340</v>
      </c>
      <c r="BG124" s="39" t="s">
        <v>18</v>
      </c>
      <c r="BH124" s="39" t="s">
        <v>18</v>
      </c>
      <c r="BI124" s="39">
        <v>100</v>
      </c>
      <c r="BJ124" s="40">
        <v>120</v>
      </c>
      <c r="BK124" s="40">
        <v>120</v>
      </c>
      <c r="BL124" s="40">
        <v>130</v>
      </c>
      <c r="BM124" s="40">
        <v>140</v>
      </c>
      <c r="BN124" s="40">
        <v>140</v>
      </c>
      <c r="BO124" s="40">
        <v>180</v>
      </c>
      <c r="BP124" s="40">
        <v>170</v>
      </c>
      <c r="BQ124" s="40">
        <v>190</v>
      </c>
      <c r="BR124" s="40">
        <v>210</v>
      </c>
      <c r="BS124" s="40">
        <v>220</v>
      </c>
      <c r="BT124" s="40">
        <v>250</v>
      </c>
      <c r="BU124" s="40">
        <v>280</v>
      </c>
      <c r="BV124" s="40">
        <v>290</v>
      </c>
      <c r="BW124" s="40">
        <v>310</v>
      </c>
      <c r="BX124" s="40">
        <v>330</v>
      </c>
      <c r="BY124" s="40">
        <v>360</v>
      </c>
      <c r="BZ124" s="40">
        <v>390</v>
      </c>
      <c r="CA124" s="41">
        <v>440</v>
      </c>
    </row>
    <row r="125" spans="14:15" ht="13.5" thickTop="1">
      <c r="N125" s="139"/>
      <c r="O125" s="3"/>
    </row>
    <row r="126" spans="14:19" ht="13.5" thickBot="1">
      <c r="N126" s="139"/>
      <c r="O126" s="3"/>
      <c r="S126" t="s">
        <v>47</v>
      </c>
    </row>
    <row r="127" spans="14:39" ht="13.5" thickBot="1">
      <c r="N127" s="139"/>
      <c r="O127" s="3"/>
      <c r="Q127" s="53" t="s">
        <v>182</v>
      </c>
      <c r="R127" s="53" t="s">
        <v>183</v>
      </c>
      <c r="S127" s="53" t="s">
        <v>0</v>
      </c>
      <c r="T127" s="54" t="s">
        <v>1</v>
      </c>
      <c r="U127" s="54">
        <v>1</v>
      </c>
      <c r="V127" s="54" t="s">
        <v>2</v>
      </c>
      <c r="W127" s="54" t="s">
        <v>3</v>
      </c>
      <c r="X127" s="54" t="s">
        <v>4</v>
      </c>
      <c r="Y127" s="54" t="s">
        <v>5</v>
      </c>
      <c r="Z127" s="54" t="s">
        <v>6</v>
      </c>
      <c r="AA127" s="54" t="s">
        <v>7</v>
      </c>
      <c r="AB127" s="54" t="s">
        <v>8</v>
      </c>
      <c r="AC127" s="54" t="s">
        <v>9</v>
      </c>
      <c r="AD127" s="54" t="s">
        <v>10</v>
      </c>
      <c r="AE127" s="54" t="s">
        <v>11</v>
      </c>
      <c r="AF127" s="54" t="s">
        <v>12</v>
      </c>
      <c r="AG127" s="54" t="s">
        <v>13</v>
      </c>
      <c r="AH127" s="54" t="s">
        <v>14</v>
      </c>
      <c r="AI127" s="54" t="s">
        <v>15</v>
      </c>
      <c r="AJ127" s="54" t="s">
        <v>16</v>
      </c>
      <c r="AK127" s="55" t="s">
        <v>17</v>
      </c>
      <c r="AL127" s="179"/>
      <c r="AM127" s="179"/>
    </row>
    <row r="128" spans="14:39" ht="12.75">
      <c r="N128" s="139"/>
      <c r="O128" s="266" t="s">
        <v>48</v>
      </c>
      <c r="P128" s="267"/>
      <c r="Q128" s="56" t="s">
        <v>18</v>
      </c>
      <c r="R128" s="56" t="s">
        <v>18</v>
      </c>
      <c r="S128" s="56">
        <v>21</v>
      </c>
      <c r="T128" s="57">
        <v>26</v>
      </c>
      <c r="U128" s="57">
        <v>33</v>
      </c>
      <c r="V128" s="57">
        <v>42</v>
      </c>
      <c r="W128" s="57">
        <v>48</v>
      </c>
      <c r="X128" s="57">
        <v>60</v>
      </c>
      <c r="Y128" s="57">
        <v>73</v>
      </c>
      <c r="Z128" s="57">
        <v>89</v>
      </c>
      <c r="AA128" s="57">
        <v>114</v>
      </c>
      <c r="AB128" s="57">
        <v>141</v>
      </c>
      <c r="AC128" s="57">
        <v>168</v>
      </c>
      <c r="AD128" s="57">
        <v>219</v>
      </c>
      <c r="AE128" s="57">
        <v>273</v>
      </c>
      <c r="AF128" s="57">
        <v>324</v>
      </c>
      <c r="AG128" s="57">
        <v>356</v>
      </c>
      <c r="AH128" s="57">
        <v>406</v>
      </c>
      <c r="AI128" s="57">
        <v>457</v>
      </c>
      <c r="AJ128" s="57">
        <v>508</v>
      </c>
      <c r="AK128" s="58">
        <v>610</v>
      </c>
      <c r="AL128" s="180"/>
      <c r="AM128" s="180"/>
    </row>
    <row r="129" spans="14:39" ht="12.75">
      <c r="N129" s="139"/>
      <c r="O129" s="266" t="s">
        <v>49</v>
      </c>
      <c r="P129" s="267"/>
      <c r="Q129" s="59" t="s">
        <v>18</v>
      </c>
      <c r="R129" s="59" t="s">
        <v>18</v>
      </c>
      <c r="S129" s="59">
        <v>10.5</v>
      </c>
      <c r="T129" s="60">
        <v>13</v>
      </c>
      <c r="U129" s="60">
        <v>16.5</v>
      </c>
      <c r="V129" s="60">
        <v>21</v>
      </c>
      <c r="W129" s="60">
        <v>24</v>
      </c>
      <c r="X129" s="60">
        <v>30</v>
      </c>
      <c r="Y129" s="60">
        <v>36.5</v>
      </c>
      <c r="Z129" s="60">
        <v>44.5</v>
      </c>
      <c r="AA129" s="60">
        <v>57</v>
      </c>
      <c r="AB129" s="60">
        <v>70.5</v>
      </c>
      <c r="AC129" s="60">
        <v>84</v>
      </c>
      <c r="AD129" s="60">
        <v>109.5</v>
      </c>
      <c r="AE129" s="60">
        <v>136.5</v>
      </c>
      <c r="AF129" s="60">
        <v>162</v>
      </c>
      <c r="AG129" s="60">
        <v>178</v>
      </c>
      <c r="AH129" s="60">
        <v>203</v>
      </c>
      <c r="AI129" s="60">
        <v>228.5</v>
      </c>
      <c r="AJ129" s="60">
        <v>254</v>
      </c>
      <c r="AK129" s="61">
        <v>305</v>
      </c>
      <c r="AL129" s="180"/>
      <c r="AM129" s="180"/>
    </row>
    <row r="130" spans="14:39" ht="12.75">
      <c r="N130" s="139"/>
      <c r="O130" s="266" t="s">
        <v>51</v>
      </c>
      <c r="P130" s="267"/>
      <c r="Q130" s="59" t="s">
        <v>18</v>
      </c>
      <c r="R130" s="59" t="s">
        <v>18</v>
      </c>
      <c r="S130" s="59" t="s">
        <v>18</v>
      </c>
      <c r="T130" s="60" t="s">
        <v>18</v>
      </c>
      <c r="U130" s="60">
        <v>51</v>
      </c>
      <c r="V130" s="60">
        <v>51</v>
      </c>
      <c r="W130" s="60">
        <v>64</v>
      </c>
      <c r="X130" s="60">
        <v>76</v>
      </c>
      <c r="Y130" s="60">
        <v>89</v>
      </c>
      <c r="Z130" s="60">
        <v>89</v>
      </c>
      <c r="AA130" s="60">
        <v>102</v>
      </c>
      <c r="AB130" s="60">
        <v>127</v>
      </c>
      <c r="AC130" s="60">
        <v>140</v>
      </c>
      <c r="AD130" s="60">
        <v>152</v>
      </c>
      <c r="AE130" s="60">
        <v>178</v>
      </c>
      <c r="AF130" s="60">
        <v>203</v>
      </c>
      <c r="AG130" s="60">
        <v>330</v>
      </c>
      <c r="AH130" s="60">
        <v>356</v>
      </c>
      <c r="AI130" s="60">
        <v>381</v>
      </c>
      <c r="AJ130" s="60">
        <v>508</v>
      </c>
      <c r="AK130" s="61">
        <v>508</v>
      </c>
      <c r="AL130" s="180"/>
      <c r="AM130" s="180"/>
    </row>
    <row r="131" spans="14:39" ht="12.75">
      <c r="N131" s="139"/>
      <c r="O131" s="266" t="s">
        <v>50</v>
      </c>
      <c r="P131" s="267"/>
      <c r="Q131" s="59" t="s">
        <v>18</v>
      </c>
      <c r="R131" s="59" t="s">
        <v>18</v>
      </c>
      <c r="S131" s="59" t="s">
        <v>18</v>
      </c>
      <c r="T131" s="60" t="s">
        <v>18</v>
      </c>
      <c r="U131" s="60" t="s">
        <v>18</v>
      </c>
      <c r="V131" s="60" t="s">
        <v>18</v>
      </c>
      <c r="W131" s="60">
        <v>114</v>
      </c>
      <c r="X131" s="60">
        <v>165</v>
      </c>
      <c r="Y131" s="60">
        <v>178</v>
      </c>
      <c r="Z131" s="60">
        <v>203</v>
      </c>
      <c r="AA131" s="60">
        <v>229</v>
      </c>
      <c r="AB131" s="60">
        <v>279</v>
      </c>
      <c r="AC131" s="60" t="s">
        <v>18</v>
      </c>
      <c r="AD131" s="60" t="s">
        <v>18</v>
      </c>
      <c r="AE131" s="60" t="s">
        <v>18</v>
      </c>
      <c r="AF131" s="60" t="s">
        <v>18</v>
      </c>
      <c r="AG131" s="60" t="s">
        <v>18</v>
      </c>
      <c r="AH131" s="60" t="s">
        <v>18</v>
      </c>
      <c r="AI131" s="60" t="s">
        <v>18</v>
      </c>
      <c r="AJ131" s="60" t="s">
        <v>18</v>
      </c>
      <c r="AK131" s="61" t="s">
        <v>18</v>
      </c>
      <c r="AL131" s="180"/>
      <c r="AM131" s="180"/>
    </row>
    <row r="132" spans="14:39" ht="12.75">
      <c r="N132" s="139"/>
      <c r="O132" s="266" t="s">
        <v>52</v>
      </c>
      <c r="P132" s="267"/>
      <c r="Q132" s="59" t="s">
        <v>18</v>
      </c>
      <c r="R132" s="59" t="s">
        <v>18</v>
      </c>
      <c r="S132" s="59" t="s">
        <v>18</v>
      </c>
      <c r="T132" s="60" t="s">
        <v>18</v>
      </c>
      <c r="U132" s="60">
        <v>38</v>
      </c>
      <c r="V132" s="60">
        <v>38</v>
      </c>
      <c r="W132" s="60">
        <v>38</v>
      </c>
      <c r="X132" s="60">
        <v>38</v>
      </c>
      <c r="Y132" s="60">
        <v>38</v>
      </c>
      <c r="Z132" s="60">
        <v>51</v>
      </c>
      <c r="AA132" s="60">
        <v>64</v>
      </c>
      <c r="AB132" s="60">
        <v>76</v>
      </c>
      <c r="AC132" s="60">
        <v>89</v>
      </c>
      <c r="AD132" s="60">
        <v>102</v>
      </c>
      <c r="AE132" s="60">
        <v>127</v>
      </c>
      <c r="AF132" s="60">
        <v>152</v>
      </c>
      <c r="AG132" s="60">
        <v>165</v>
      </c>
      <c r="AH132" s="60">
        <v>178</v>
      </c>
      <c r="AI132" s="60">
        <v>203</v>
      </c>
      <c r="AJ132" s="60">
        <v>229</v>
      </c>
      <c r="AK132" s="61">
        <v>267</v>
      </c>
      <c r="AL132" s="180"/>
      <c r="AM132" s="180"/>
    </row>
    <row r="133" spans="14:39" ht="13.5" thickBot="1">
      <c r="N133" s="139"/>
      <c r="O133" s="266" t="s">
        <v>53</v>
      </c>
      <c r="P133" s="267"/>
      <c r="Q133" s="62" t="s">
        <v>18</v>
      </c>
      <c r="R133" s="62" t="s">
        <v>18</v>
      </c>
      <c r="S133" s="62" t="s">
        <v>18</v>
      </c>
      <c r="T133" s="63" t="s">
        <v>18</v>
      </c>
      <c r="U133" s="63" t="s">
        <v>18</v>
      </c>
      <c r="V133" s="63" t="s">
        <v>18</v>
      </c>
      <c r="W133" s="63"/>
      <c r="X133" s="63">
        <v>64</v>
      </c>
      <c r="Y133" s="63">
        <v>76</v>
      </c>
      <c r="Z133" s="63">
        <v>86</v>
      </c>
      <c r="AA133" s="63">
        <v>105</v>
      </c>
      <c r="AB133" s="63">
        <v>124</v>
      </c>
      <c r="AC133" s="63">
        <v>143</v>
      </c>
      <c r="AD133" s="63">
        <v>178</v>
      </c>
      <c r="AE133" s="63">
        <v>216</v>
      </c>
      <c r="AF133" s="63">
        <v>254</v>
      </c>
      <c r="AG133" s="63">
        <v>280</v>
      </c>
      <c r="AH133" s="63">
        <v>305</v>
      </c>
      <c r="AI133" s="63">
        <v>343</v>
      </c>
      <c r="AJ133" s="63">
        <v>381</v>
      </c>
      <c r="AK133" s="64">
        <v>432</v>
      </c>
      <c r="AL133" s="180"/>
      <c r="AM133" s="180"/>
    </row>
    <row r="134" ht="12.75">
      <c r="N134" s="139"/>
    </row>
    <row r="135" ht="13.5" thickBot="1">
      <c r="N135" s="139"/>
    </row>
    <row r="136" spans="14:39" ht="13.5" thickBot="1">
      <c r="N136" s="139"/>
      <c r="Q136" s="53" t="s">
        <v>182</v>
      </c>
      <c r="R136" s="53" t="s">
        <v>183</v>
      </c>
      <c r="S136" s="53" t="s">
        <v>0</v>
      </c>
      <c r="T136" s="54" t="s">
        <v>1</v>
      </c>
      <c r="U136" s="54">
        <v>1</v>
      </c>
      <c r="V136" s="54" t="s">
        <v>2</v>
      </c>
      <c r="W136" s="54" t="s">
        <v>3</v>
      </c>
      <c r="X136" s="54" t="s">
        <v>4</v>
      </c>
      <c r="Y136" s="54" t="s">
        <v>5</v>
      </c>
      <c r="Z136" s="54" t="s">
        <v>6</v>
      </c>
      <c r="AA136" s="54" t="s">
        <v>7</v>
      </c>
      <c r="AB136" s="54" t="s">
        <v>8</v>
      </c>
      <c r="AC136" s="54" t="s">
        <v>9</v>
      </c>
      <c r="AD136" s="54" t="s">
        <v>10</v>
      </c>
      <c r="AE136" s="54" t="s">
        <v>11</v>
      </c>
      <c r="AF136" s="54" t="s">
        <v>12</v>
      </c>
      <c r="AG136" s="54" t="s">
        <v>13</v>
      </c>
      <c r="AH136" s="54" t="s">
        <v>14</v>
      </c>
      <c r="AI136" s="54" t="s">
        <v>15</v>
      </c>
      <c r="AJ136" s="54" t="s">
        <v>16</v>
      </c>
      <c r="AK136" s="55" t="s">
        <v>17</v>
      </c>
      <c r="AL136" s="179"/>
      <c r="AM136" s="179"/>
    </row>
    <row r="137" spans="14:39" ht="12.75">
      <c r="N137" s="139"/>
      <c r="O137" s="268" t="s">
        <v>54</v>
      </c>
      <c r="P137" s="269"/>
      <c r="Q137" s="65">
        <v>79</v>
      </c>
      <c r="R137" s="65">
        <v>79</v>
      </c>
      <c r="S137" s="65">
        <v>79</v>
      </c>
      <c r="T137" s="65">
        <v>89</v>
      </c>
      <c r="U137" s="65">
        <v>105</v>
      </c>
      <c r="V137" s="65">
        <v>114</v>
      </c>
      <c r="W137" s="65">
        <v>121</v>
      </c>
      <c r="X137" s="65">
        <v>133</v>
      </c>
      <c r="Y137" s="65" t="s">
        <v>18</v>
      </c>
      <c r="Z137" s="65" t="s">
        <v>18</v>
      </c>
      <c r="AA137" s="65" t="s">
        <v>18</v>
      </c>
      <c r="AB137" s="65" t="s">
        <v>18</v>
      </c>
      <c r="AC137" s="65" t="s">
        <v>18</v>
      </c>
      <c r="AD137" s="65" t="s">
        <v>18</v>
      </c>
      <c r="AE137" s="65" t="s">
        <v>18</v>
      </c>
      <c r="AF137" s="65" t="s">
        <v>18</v>
      </c>
      <c r="AG137" s="65" t="s">
        <v>18</v>
      </c>
      <c r="AH137" s="65" t="s">
        <v>18</v>
      </c>
      <c r="AI137" s="65" t="s">
        <v>18</v>
      </c>
      <c r="AJ137" s="65" t="s">
        <v>18</v>
      </c>
      <c r="AK137" s="66" t="s">
        <v>18</v>
      </c>
      <c r="AL137" s="181"/>
      <c r="AM137" s="181"/>
    </row>
    <row r="138" spans="14:39" ht="12.75">
      <c r="N138" s="139"/>
      <c r="O138" s="268" t="s">
        <v>55</v>
      </c>
      <c r="P138" s="269"/>
      <c r="Q138" s="30">
        <v>156</v>
      </c>
      <c r="R138" s="30">
        <v>156</v>
      </c>
      <c r="S138" s="30">
        <v>156</v>
      </c>
      <c r="T138" s="30">
        <v>178</v>
      </c>
      <c r="U138" s="30">
        <v>213</v>
      </c>
      <c r="V138" s="30">
        <v>260</v>
      </c>
      <c r="W138" s="30">
        <v>270</v>
      </c>
      <c r="X138" s="30">
        <v>318</v>
      </c>
      <c r="Y138" s="30" t="s">
        <v>18</v>
      </c>
      <c r="Z138" s="30" t="s">
        <v>18</v>
      </c>
      <c r="AA138" s="30" t="s">
        <v>18</v>
      </c>
      <c r="AB138" s="30" t="s">
        <v>18</v>
      </c>
      <c r="AC138" s="30" t="s">
        <v>18</v>
      </c>
      <c r="AD138" s="30" t="s">
        <v>18</v>
      </c>
      <c r="AE138" s="30" t="s">
        <v>18</v>
      </c>
      <c r="AF138" s="30" t="s">
        <v>18</v>
      </c>
      <c r="AG138" s="30" t="s">
        <v>18</v>
      </c>
      <c r="AH138" s="30" t="s">
        <v>18</v>
      </c>
      <c r="AI138" s="30" t="s">
        <v>18</v>
      </c>
      <c r="AJ138" s="30" t="s">
        <v>18</v>
      </c>
      <c r="AK138" s="67" t="s">
        <v>18</v>
      </c>
      <c r="AL138" s="181"/>
      <c r="AM138" s="181"/>
    </row>
    <row r="139" spans="14:39" ht="12.75">
      <c r="N139" s="139"/>
      <c r="O139" s="268"/>
      <c r="P139" s="269"/>
      <c r="Q139" s="30">
        <v>60</v>
      </c>
      <c r="R139" s="30">
        <v>60</v>
      </c>
      <c r="S139" s="30">
        <v>70</v>
      </c>
      <c r="T139" s="30">
        <v>86</v>
      </c>
      <c r="U139" s="30">
        <v>102</v>
      </c>
      <c r="V139" s="30">
        <v>140</v>
      </c>
      <c r="W139" s="30">
        <v>140</v>
      </c>
      <c r="X139" s="30">
        <v>159</v>
      </c>
      <c r="Y139" s="30" t="s">
        <v>18</v>
      </c>
      <c r="Z139" s="30" t="s">
        <v>18</v>
      </c>
      <c r="AA139" s="30" t="s">
        <v>18</v>
      </c>
      <c r="AB139" s="30" t="s">
        <v>18</v>
      </c>
      <c r="AC139" s="30" t="s">
        <v>18</v>
      </c>
      <c r="AD139" s="30" t="s">
        <v>18</v>
      </c>
      <c r="AE139" s="30" t="s">
        <v>18</v>
      </c>
      <c r="AF139" s="30" t="s">
        <v>18</v>
      </c>
      <c r="AG139" s="30" t="s">
        <v>18</v>
      </c>
      <c r="AH139" s="30" t="s">
        <v>18</v>
      </c>
      <c r="AI139" s="30" t="s">
        <v>18</v>
      </c>
      <c r="AJ139" s="30" t="s">
        <v>18</v>
      </c>
      <c r="AK139" s="67" t="s">
        <v>18</v>
      </c>
      <c r="AL139" s="181"/>
      <c r="AM139" s="181"/>
    </row>
    <row r="140" spans="14:39" ht="12.75">
      <c r="N140" s="139"/>
      <c r="O140" s="268"/>
      <c r="P140" s="269"/>
      <c r="Q140" s="30">
        <v>157</v>
      </c>
      <c r="R140" s="30">
        <v>157</v>
      </c>
      <c r="S140" s="30">
        <v>168</v>
      </c>
      <c r="T140" s="30">
        <v>200</v>
      </c>
      <c r="U140" s="30">
        <v>219</v>
      </c>
      <c r="V140" s="30">
        <v>268</v>
      </c>
      <c r="W140" s="30">
        <v>268</v>
      </c>
      <c r="X140" s="30">
        <v>322</v>
      </c>
      <c r="Y140" s="30" t="s">
        <v>18</v>
      </c>
      <c r="Z140" s="30" t="s">
        <v>18</v>
      </c>
      <c r="AA140" s="30" t="s">
        <v>18</v>
      </c>
      <c r="AB140" s="30" t="s">
        <v>18</v>
      </c>
      <c r="AC140" s="30" t="s">
        <v>18</v>
      </c>
      <c r="AD140" s="30" t="s">
        <v>18</v>
      </c>
      <c r="AE140" s="30" t="s">
        <v>18</v>
      </c>
      <c r="AF140" s="30" t="s">
        <v>18</v>
      </c>
      <c r="AG140" s="30" t="s">
        <v>18</v>
      </c>
      <c r="AH140" s="30" t="s">
        <v>18</v>
      </c>
      <c r="AI140" s="30" t="s">
        <v>18</v>
      </c>
      <c r="AJ140" s="30" t="s">
        <v>18</v>
      </c>
      <c r="AK140" s="67" t="s">
        <v>18</v>
      </c>
      <c r="AL140" s="181"/>
      <c r="AM140" s="181"/>
    </row>
    <row r="141" spans="14:39" ht="12.75">
      <c r="N141" s="139"/>
      <c r="O141" s="268"/>
      <c r="P141" s="269"/>
      <c r="Q141" s="30">
        <v>79</v>
      </c>
      <c r="R141" s="30">
        <v>79</v>
      </c>
      <c r="S141" s="30">
        <v>92</v>
      </c>
      <c r="T141" s="30">
        <v>111</v>
      </c>
      <c r="U141" s="30">
        <v>127</v>
      </c>
      <c r="V141" s="30">
        <v>152</v>
      </c>
      <c r="W141" s="30">
        <v>171</v>
      </c>
      <c r="X141" s="30">
        <v>210</v>
      </c>
      <c r="Y141" s="30" t="s">
        <v>18</v>
      </c>
      <c r="Z141" s="30" t="s">
        <v>18</v>
      </c>
      <c r="AA141" s="30" t="s">
        <v>18</v>
      </c>
      <c r="AB141" s="30" t="s">
        <v>18</v>
      </c>
      <c r="AC141" s="30" t="s">
        <v>18</v>
      </c>
      <c r="AD141" s="30" t="s">
        <v>18</v>
      </c>
      <c r="AE141" s="30" t="s">
        <v>18</v>
      </c>
      <c r="AF141" s="30" t="s">
        <v>18</v>
      </c>
      <c r="AG141" s="30" t="s">
        <v>18</v>
      </c>
      <c r="AH141" s="30" t="s">
        <v>18</v>
      </c>
      <c r="AI141" s="30" t="s">
        <v>18</v>
      </c>
      <c r="AJ141" s="30" t="s">
        <v>18</v>
      </c>
      <c r="AK141" s="67" t="s">
        <v>18</v>
      </c>
      <c r="AL141" s="181"/>
      <c r="AM141" s="181"/>
    </row>
    <row r="142" spans="14:39" ht="12.75">
      <c r="N142" s="139"/>
      <c r="O142" s="268"/>
      <c r="P142" s="269"/>
      <c r="Q142" s="30" t="s">
        <v>18</v>
      </c>
      <c r="R142" s="30" t="s">
        <v>18</v>
      </c>
      <c r="S142" s="30">
        <v>86</v>
      </c>
      <c r="T142" s="30">
        <v>98</v>
      </c>
      <c r="U142" s="30">
        <v>135</v>
      </c>
      <c r="V142" s="30">
        <v>140</v>
      </c>
      <c r="W142" s="30">
        <v>143</v>
      </c>
      <c r="X142" s="30">
        <v>171</v>
      </c>
      <c r="Y142" s="30" t="s">
        <v>18</v>
      </c>
      <c r="Z142" s="30" t="s">
        <v>18</v>
      </c>
      <c r="AA142" s="30" t="s">
        <v>18</v>
      </c>
      <c r="AB142" s="30" t="s">
        <v>18</v>
      </c>
      <c r="AC142" s="30" t="s">
        <v>18</v>
      </c>
      <c r="AD142" s="30" t="s">
        <v>18</v>
      </c>
      <c r="AE142" s="30" t="s">
        <v>18</v>
      </c>
      <c r="AF142" s="30" t="s">
        <v>18</v>
      </c>
      <c r="AG142" s="30" t="s">
        <v>18</v>
      </c>
      <c r="AH142" s="30" t="s">
        <v>18</v>
      </c>
      <c r="AI142" s="30" t="s">
        <v>18</v>
      </c>
      <c r="AJ142" s="30" t="s">
        <v>18</v>
      </c>
      <c r="AK142" s="67" t="s">
        <v>18</v>
      </c>
      <c r="AL142" s="181"/>
      <c r="AM142" s="181"/>
    </row>
    <row r="143" spans="14:39" ht="12.75">
      <c r="N143" s="139"/>
      <c r="O143" s="268"/>
      <c r="P143" s="269"/>
      <c r="Q143" s="30">
        <v>114</v>
      </c>
      <c r="R143" s="30">
        <v>114</v>
      </c>
      <c r="S143" s="30">
        <v>133</v>
      </c>
      <c r="T143" s="30">
        <v>165</v>
      </c>
      <c r="U143" s="30">
        <v>197</v>
      </c>
      <c r="V143" s="30">
        <v>235</v>
      </c>
      <c r="W143" s="30">
        <v>267</v>
      </c>
      <c r="X143" s="30">
        <v>324</v>
      </c>
      <c r="Y143" s="30" t="s">
        <v>18</v>
      </c>
      <c r="Z143" s="30" t="s">
        <v>18</v>
      </c>
      <c r="AA143" s="30" t="s">
        <v>18</v>
      </c>
      <c r="AB143" s="30" t="s">
        <v>18</v>
      </c>
      <c r="AC143" s="30" t="s">
        <v>18</v>
      </c>
      <c r="AD143" s="30" t="s">
        <v>18</v>
      </c>
      <c r="AE143" s="30" t="s">
        <v>18</v>
      </c>
      <c r="AF143" s="30" t="s">
        <v>18</v>
      </c>
      <c r="AG143" s="30" t="s">
        <v>18</v>
      </c>
      <c r="AH143" s="30" t="s">
        <v>18</v>
      </c>
      <c r="AI143" s="30" t="s">
        <v>18</v>
      </c>
      <c r="AJ143" s="30" t="s">
        <v>18</v>
      </c>
      <c r="AK143" s="67" t="s">
        <v>18</v>
      </c>
      <c r="AL143" s="181"/>
      <c r="AM143" s="181"/>
    </row>
    <row r="144" spans="14:39" ht="12.75">
      <c r="N144" s="139"/>
      <c r="Q144" s="30">
        <v>46</v>
      </c>
      <c r="R144" s="30">
        <v>46</v>
      </c>
      <c r="S144" s="30">
        <v>54</v>
      </c>
      <c r="T144" s="30">
        <v>57</v>
      </c>
      <c r="U144" s="30">
        <v>71</v>
      </c>
      <c r="V144" s="30">
        <v>76</v>
      </c>
      <c r="W144" s="30">
        <v>83</v>
      </c>
      <c r="X144" s="30">
        <v>94</v>
      </c>
      <c r="Y144" s="30" t="s">
        <v>18</v>
      </c>
      <c r="Z144" s="30" t="s">
        <v>18</v>
      </c>
      <c r="AA144" s="30" t="s">
        <v>18</v>
      </c>
      <c r="AB144" s="30" t="s">
        <v>18</v>
      </c>
      <c r="AC144" s="30" t="s">
        <v>18</v>
      </c>
      <c r="AD144" s="30" t="s">
        <v>18</v>
      </c>
      <c r="AE144" s="30" t="s">
        <v>18</v>
      </c>
      <c r="AF144" s="30" t="s">
        <v>18</v>
      </c>
      <c r="AG144" s="30" t="s">
        <v>18</v>
      </c>
      <c r="AH144" s="30" t="s">
        <v>18</v>
      </c>
      <c r="AI144" s="30" t="s">
        <v>18</v>
      </c>
      <c r="AJ144" s="30" t="s">
        <v>18</v>
      </c>
      <c r="AK144" s="67" t="s">
        <v>18</v>
      </c>
      <c r="AL144" s="181"/>
      <c r="AM144" s="181"/>
    </row>
    <row r="145" spans="14:39" ht="12.75">
      <c r="N145" s="139"/>
      <c r="Q145" s="30">
        <v>76</v>
      </c>
      <c r="R145" s="30">
        <v>83</v>
      </c>
      <c r="S145" s="30">
        <v>95</v>
      </c>
      <c r="T145" s="30">
        <v>108</v>
      </c>
      <c r="U145" s="30">
        <v>127</v>
      </c>
      <c r="V145" s="30">
        <v>140</v>
      </c>
      <c r="W145" s="30">
        <v>159</v>
      </c>
      <c r="X145" s="30">
        <v>191</v>
      </c>
      <c r="Y145" s="30" t="s">
        <v>18</v>
      </c>
      <c r="Z145" s="30" t="s">
        <v>18</v>
      </c>
      <c r="AA145" s="30" t="s">
        <v>18</v>
      </c>
      <c r="AB145" s="30" t="s">
        <v>18</v>
      </c>
      <c r="AC145" s="30" t="s">
        <v>18</v>
      </c>
      <c r="AD145" s="30" t="s">
        <v>18</v>
      </c>
      <c r="AE145" s="30" t="s">
        <v>18</v>
      </c>
      <c r="AF145" s="30" t="s">
        <v>18</v>
      </c>
      <c r="AG145" s="30" t="s">
        <v>18</v>
      </c>
      <c r="AH145" s="30" t="s">
        <v>18</v>
      </c>
      <c r="AI145" s="30" t="s">
        <v>18</v>
      </c>
      <c r="AJ145" s="30" t="s">
        <v>18</v>
      </c>
      <c r="AK145" s="67" t="s">
        <v>18</v>
      </c>
      <c r="AL145" s="181"/>
      <c r="AM145" s="181"/>
    </row>
    <row r="146" spans="14:39" ht="12.75">
      <c r="N146" s="139"/>
      <c r="Q146" s="30">
        <v>41</v>
      </c>
      <c r="R146" s="30">
        <v>48</v>
      </c>
      <c r="S146" s="30">
        <v>56</v>
      </c>
      <c r="T146" s="30">
        <v>68</v>
      </c>
      <c r="U146" s="30">
        <v>81</v>
      </c>
      <c r="V146" s="30">
        <v>94</v>
      </c>
      <c r="W146" s="30">
        <v>106</v>
      </c>
      <c r="X146" s="30">
        <v>130</v>
      </c>
      <c r="Y146" s="30" t="s">
        <v>18</v>
      </c>
      <c r="Z146" s="30" t="s">
        <v>18</v>
      </c>
      <c r="AA146" s="30" t="s">
        <v>18</v>
      </c>
      <c r="AB146" s="30" t="s">
        <v>18</v>
      </c>
      <c r="AC146" s="30" t="s">
        <v>18</v>
      </c>
      <c r="AD146" s="30" t="s">
        <v>18</v>
      </c>
      <c r="AE146" s="30" t="s">
        <v>18</v>
      </c>
      <c r="AF146" s="30" t="s">
        <v>18</v>
      </c>
      <c r="AG146" s="30" t="s">
        <v>18</v>
      </c>
      <c r="AH146" s="30" t="s">
        <v>18</v>
      </c>
      <c r="AI146" s="30" t="s">
        <v>18</v>
      </c>
      <c r="AJ146" s="30" t="s">
        <v>18</v>
      </c>
      <c r="AK146" s="67" t="s">
        <v>18</v>
      </c>
      <c r="AL146" s="181"/>
      <c r="AM146" s="181"/>
    </row>
    <row r="147" spans="14:39" ht="13.5" thickBot="1">
      <c r="N147" s="139"/>
      <c r="Q147" s="31">
        <v>41</v>
      </c>
      <c r="R147" s="31">
        <v>48</v>
      </c>
      <c r="S147" s="31">
        <v>57</v>
      </c>
      <c r="T147" s="31">
        <v>68</v>
      </c>
      <c r="U147" s="31">
        <v>81</v>
      </c>
      <c r="V147" s="31">
        <v>94</v>
      </c>
      <c r="W147" s="31">
        <v>108</v>
      </c>
      <c r="X147" s="31">
        <v>130</v>
      </c>
      <c r="Y147" s="31" t="s">
        <v>18</v>
      </c>
      <c r="Z147" s="31" t="s">
        <v>18</v>
      </c>
      <c r="AA147" s="31" t="s">
        <v>18</v>
      </c>
      <c r="AB147" s="31" t="s">
        <v>18</v>
      </c>
      <c r="AC147" s="31" t="s">
        <v>18</v>
      </c>
      <c r="AD147" s="31" t="s">
        <v>18</v>
      </c>
      <c r="AE147" s="31" t="s">
        <v>18</v>
      </c>
      <c r="AF147" s="31" t="s">
        <v>18</v>
      </c>
      <c r="AG147" s="31" t="s">
        <v>18</v>
      </c>
      <c r="AH147" s="31" t="s">
        <v>18</v>
      </c>
      <c r="AI147" s="31" t="s">
        <v>18</v>
      </c>
      <c r="AJ147" s="31" t="s">
        <v>18</v>
      </c>
      <c r="AK147" s="68" t="s">
        <v>18</v>
      </c>
      <c r="AL147" s="181"/>
      <c r="AM147" s="181"/>
    </row>
    <row r="148" ht="13.5" thickBot="1">
      <c r="N148" s="139"/>
    </row>
    <row r="149" spans="14:39" ht="13.5" thickBot="1">
      <c r="N149" s="139"/>
      <c r="O149" s="279" t="s">
        <v>66</v>
      </c>
      <c r="P149" t="s">
        <v>56</v>
      </c>
      <c r="Q149" s="53" t="s">
        <v>182</v>
      </c>
      <c r="R149" s="53" t="s">
        <v>183</v>
      </c>
      <c r="S149" s="53" t="s">
        <v>0</v>
      </c>
      <c r="T149" s="54" t="s">
        <v>1</v>
      </c>
      <c r="U149" s="54">
        <v>1</v>
      </c>
      <c r="V149" s="54" t="s">
        <v>2</v>
      </c>
      <c r="W149" s="54" t="s">
        <v>3</v>
      </c>
      <c r="X149" s="54" t="s">
        <v>4</v>
      </c>
      <c r="Y149" s="54" t="s">
        <v>5</v>
      </c>
      <c r="Z149" s="54" t="s">
        <v>6</v>
      </c>
      <c r="AA149" s="54" t="s">
        <v>7</v>
      </c>
      <c r="AB149" s="54" t="s">
        <v>8</v>
      </c>
      <c r="AC149" s="54" t="s">
        <v>9</v>
      </c>
      <c r="AD149" s="54" t="s">
        <v>10</v>
      </c>
      <c r="AE149" s="54" t="s">
        <v>11</v>
      </c>
      <c r="AF149" s="54" t="s">
        <v>12</v>
      </c>
      <c r="AG149" s="54" t="s">
        <v>13</v>
      </c>
      <c r="AH149" s="54" t="s">
        <v>14</v>
      </c>
      <c r="AI149" s="54" t="s">
        <v>15</v>
      </c>
      <c r="AJ149" s="54" t="s">
        <v>16</v>
      </c>
      <c r="AK149" s="55" t="s">
        <v>17</v>
      </c>
      <c r="AL149" s="179"/>
      <c r="AM149" s="179"/>
    </row>
    <row r="150" spans="14:39" ht="12.75">
      <c r="N150" s="139"/>
      <c r="O150" s="279"/>
      <c r="P150" s="69">
        <v>5</v>
      </c>
      <c r="Q150" s="60" t="s">
        <v>18</v>
      </c>
      <c r="R150" s="60" t="s">
        <v>18</v>
      </c>
      <c r="S150" s="189">
        <v>1.65</v>
      </c>
      <c r="T150" s="57">
        <v>1.65</v>
      </c>
      <c r="U150" s="57">
        <v>1.65</v>
      </c>
      <c r="V150" s="57">
        <v>1.65</v>
      </c>
      <c r="W150" s="57">
        <v>1.65</v>
      </c>
      <c r="X150" s="57">
        <v>1.65</v>
      </c>
      <c r="Y150" s="57">
        <v>2.11</v>
      </c>
      <c r="Z150" s="57">
        <v>2.11</v>
      </c>
      <c r="AA150" s="57">
        <v>2.11</v>
      </c>
      <c r="AB150" s="57">
        <v>2.77</v>
      </c>
      <c r="AC150" s="57">
        <v>2.77</v>
      </c>
      <c r="AD150" s="57" t="s">
        <v>18</v>
      </c>
      <c r="AE150" s="57" t="s">
        <v>18</v>
      </c>
      <c r="AF150" s="57" t="s">
        <v>18</v>
      </c>
      <c r="AG150" s="57" t="s">
        <v>18</v>
      </c>
      <c r="AH150" s="57" t="s">
        <v>18</v>
      </c>
      <c r="AI150" s="57" t="s">
        <v>18</v>
      </c>
      <c r="AJ150" s="57" t="s">
        <v>18</v>
      </c>
      <c r="AK150" s="58" t="s">
        <v>18</v>
      </c>
      <c r="AL150" s="180"/>
      <c r="AM150" s="180"/>
    </row>
    <row r="151" spans="14:39" ht="12.75">
      <c r="N151" s="139"/>
      <c r="O151" s="279"/>
      <c r="P151" s="69" t="s">
        <v>60</v>
      </c>
      <c r="Q151" s="60" t="s">
        <v>18</v>
      </c>
      <c r="R151" s="60" t="s">
        <v>18</v>
      </c>
      <c r="S151" s="190">
        <v>1.65</v>
      </c>
      <c r="T151" s="70">
        <v>1.65</v>
      </c>
      <c r="U151" s="70">
        <v>1.65</v>
      </c>
      <c r="V151" s="70">
        <v>1.65</v>
      </c>
      <c r="W151" s="70">
        <v>1.65</v>
      </c>
      <c r="X151" s="70">
        <v>1.65</v>
      </c>
      <c r="Y151" s="70">
        <v>2.11</v>
      </c>
      <c r="Z151" s="70">
        <v>2.11</v>
      </c>
      <c r="AA151" s="70">
        <v>2.11</v>
      </c>
      <c r="AB151" s="70">
        <v>2.77</v>
      </c>
      <c r="AC151" s="70">
        <v>2.77</v>
      </c>
      <c r="AD151" s="70">
        <v>2.77</v>
      </c>
      <c r="AE151" s="70">
        <v>3.4</v>
      </c>
      <c r="AF151" s="70">
        <v>3.96</v>
      </c>
      <c r="AG151" s="70" t="s">
        <v>18</v>
      </c>
      <c r="AH151" s="70" t="s">
        <v>18</v>
      </c>
      <c r="AI151" s="70" t="s">
        <v>18</v>
      </c>
      <c r="AJ151" s="70" t="s">
        <v>18</v>
      </c>
      <c r="AK151" s="71" t="s">
        <v>18</v>
      </c>
      <c r="AL151" s="180"/>
      <c r="AM151" s="180"/>
    </row>
    <row r="152" spans="14:39" ht="12.75">
      <c r="N152" s="139"/>
      <c r="O152" s="279"/>
      <c r="P152" s="69">
        <v>10</v>
      </c>
      <c r="Q152" s="60">
        <v>1.65</v>
      </c>
      <c r="R152" s="60">
        <v>1.65</v>
      </c>
      <c r="S152" s="191">
        <v>2.11</v>
      </c>
      <c r="T152" s="60">
        <v>2.11</v>
      </c>
      <c r="U152" s="60">
        <v>2.77</v>
      </c>
      <c r="V152" s="60">
        <v>2.77</v>
      </c>
      <c r="W152" s="60">
        <v>2.77</v>
      </c>
      <c r="X152" s="60">
        <v>2.77</v>
      </c>
      <c r="Y152" s="60">
        <v>3.05</v>
      </c>
      <c r="Z152" s="60">
        <v>3.05</v>
      </c>
      <c r="AA152" s="60">
        <v>3.05</v>
      </c>
      <c r="AB152" s="60">
        <v>3.4</v>
      </c>
      <c r="AC152" s="60">
        <v>3.4</v>
      </c>
      <c r="AD152" s="60">
        <v>3.76</v>
      </c>
      <c r="AE152" s="60" t="s">
        <v>18</v>
      </c>
      <c r="AF152" s="60" t="s">
        <v>18</v>
      </c>
      <c r="AG152" s="60">
        <v>635</v>
      </c>
      <c r="AH152" s="60">
        <v>6.35</v>
      </c>
      <c r="AI152" s="60">
        <v>6.35</v>
      </c>
      <c r="AJ152" s="60">
        <v>6.35</v>
      </c>
      <c r="AK152" s="61">
        <v>6.35</v>
      </c>
      <c r="AL152" s="180"/>
      <c r="AM152" s="180"/>
    </row>
    <row r="153" spans="14:39" ht="12.75">
      <c r="N153" s="140"/>
      <c r="O153" s="279"/>
      <c r="P153" s="69" t="s">
        <v>61</v>
      </c>
      <c r="Q153" s="60">
        <v>1.65</v>
      </c>
      <c r="R153" s="60">
        <v>1.65</v>
      </c>
      <c r="S153" s="191">
        <v>2.11</v>
      </c>
      <c r="T153" s="60">
        <v>2.11</v>
      </c>
      <c r="U153" s="60">
        <v>2.77</v>
      </c>
      <c r="V153" s="60">
        <v>2.77</v>
      </c>
      <c r="W153" s="60">
        <v>2.77</v>
      </c>
      <c r="X153" s="60">
        <v>2.77</v>
      </c>
      <c r="Y153" s="60">
        <v>3.05</v>
      </c>
      <c r="Z153" s="60">
        <v>3.05</v>
      </c>
      <c r="AA153" s="60">
        <v>3.05</v>
      </c>
      <c r="AB153" s="60">
        <v>3.4</v>
      </c>
      <c r="AC153" s="60">
        <v>3.4</v>
      </c>
      <c r="AD153" s="60">
        <v>3.76</v>
      </c>
      <c r="AE153" s="60">
        <v>4.19</v>
      </c>
      <c r="AF153" s="60">
        <v>4.57</v>
      </c>
      <c r="AG153" s="60">
        <v>4.58</v>
      </c>
      <c r="AH153" s="60">
        <v>4.78</v>
      </c>
      <c r="AI153" s="60">
        <v>4.78</v>
      </c>
      <c r="AJ153" s="60">
        <v>5.54</v>
      </c>
      <c r="AK153" s="61">
        <v>6.35</v>
      </c>
      <c r="AL153" s="180"/>
      <c r="AM153" s="180"/>
    </row>
    <row r="154" spans="14:39" ht="12.75">
      <c r="N154" s="139"/>
      <c r="O154" s="279"/>
      <c r="P154" s="69">
        <v>20</v>
      </c>
      <c r="Q154" s="60" t="s">
        <v>18</v>
      </c>
      <c r="R154" s="60" t="s">
        <v>18</v>
      </c>
      <c r="S154" s="191" t="s">
        <v>18</v>
      </c>
      <c r="T154" s="60" t="s">
        <v>18</v>
      </c>
      <c r="U154" s="60" t="s">
        <v>18</v>
      </c>
      <c r="V154" s="60" t="s">
        <v>18</v>
      </c>
      <c r="W154" s="60" t="s">
        <v>18</v>
      </c>
      <c r="X154" s="60" t="s">
        <v>18</v>
      </c>
      <c r="Y154" s="60" t="s">
        <v>18</v>
      </c>
      <c r="Z154" s="60" t="s">
        <v>18</v>
      </c>
      <c r="AA154" s="60" t="s">
        <v>18</v>
      </c>
      <c r="AB154" s="60" t="s">
        <v>18</v>
      </c>
      <c r="AC154" s="60" t="s">
        <v>18</v>
      </c>
      <c r="AD154" s="60">
        <v>6.35</v>
      </c>
      <c r="AE154" s="60">
        <v>6.35</v>
      </c>
      <c r="AF154" s="60">
        <v>6.35</v>
      </c>
      <c r="AG154" s="60">
        <v>7.92</v>
      </c>
      <c r="AH154" s="60">
        <v>7.92</v>
      </c>
      <c r="AI154" s="60">
        <v>7.92</v>
      </c>
      <c r="AJ154" s="60">
        <v>9.53</v>
      </c>
      <c r="AK154" s="61">
        <v>9.53</v>
      </c>
      <c r="AL154" s="180"/>
      <c r="AM154" s="180"/>
    </row>
    <row r="155" spans="14:39" ht="12.75">
      <c r="N155" s="139"/>
      <c r="O155" s="279"/>
      <c r="P155" s="69">
        <v>30</v>
      </c>
      <c r="Q155" s="60" t="s">
        <v>18</v>
      </c>
      <c r="R155" s="60" t="s">
        <v>18</v>
      </c>
      <c r="S155" s="191" t="s">
        <v>18</v>
      </c>
      <c r="T155" s="60" t="s">
        <v>18</v>
      </c>
      <c r="U155" s="60" t="s">
        <v>18</v>
      </c>
      <c r="V155" s="60" t="s">
        <v>18</v>
      </c>
      <c r="W155" s="60" t="s">
        <v>18</v>
      </c>
      <c r="X155" s="60" t="s">
        <v>18</v>
      </c>
      <c r="Y155" s="60" t="s">
        <v>18</v>
      </c>
      <c r="Z155" s="60" t="s">
        <v>18</v>
      </c>
      <c r="AA155" s="60" t="s">
        <v>18</v>
      </c>
      <c r="AB155" s="60" t="s">
        <v>18</v>
      </c>
      <c r="AC155" s="60" t="s">
        <v>18</v>
      </c>
      <c r="AD155" s="60">
        <v>7.04</v>
      </c>
      <c r="AE155" s="60">
        <v>7.8</v>
      </c>
      <c r="AF155" s="60">
        <v>6.38</v>
      </c>
      <c r="AG155" s="60">
        <v>9.53</v>
      </c>
      <c r="AH155" s="60">
        <v>9.53</v>
      </c>
      <c r="AI155" s="60">
        <v>11.13</v>
      </c>
      <c r="AJ155" s="60">
        <v>12.7</v>
      </c>
      <c r="AK155" s="61">
        <v>14.27</v>
      </c>
      <c r="AL155" s="180"/>
      <c r="AM155" s="180"/>
    </row>
    <row r="156" spans="14:39" ht="12.75">
      <c r="N156" s="139"/>
      <c r="O156" s="279"/>
      <c r="P156" s="69" t="s">
        <v>57</v>
      </c>
      <c r="Q156" s="60">
        <v>2.24</v>
      </c>
      <c r="R156" s="60">
        <v>2.31</v>
      </c>
      <c r="S156" s="191">
        <v>2.77</v>
      </c>
      <c r="T156" s="60">
        <v>2.87</v>
      </c>
      <c r="U156" s="60">
        <v>3.38</v>
      </c>
      <c r="V156" s="60">
        <v>3.56</v>
      </c>
      <c r="W156" s="60">
        <v>3.68</v>
      </c>
      <c r="X156" s="60">
        <v>3.91</v>
      </c>
      <c r="Y156" s="60">
        <v>5.16</v>
      </c>
      <c r="Z156" s="60">
        <v>5.49</v>
      </c>
      <c r="AA156" s="60">
        <v>6.02</v>
      </c>
      <c r="AB156" s="60">
        <v>6.55</v>
      </c>
      <c r="AC156" s="60">
        <v>7.11</v>
      </c>
      <c r="AD156" s="60">
        <v>8.18</v>
      </c>
      <c r="AE156" s="60">
        <v>9.27</v>
      </c>
      <c r="AF156" s="60">
        <v>9.53</v>
      </c>
      <c r="AG156" s="60">
        <v>9.53</v>
      </c>
      <c r="AH156" s="60">
        <v>9.53</v>
      </c>
      <c r="AI156" s="60">
        <v>9.53</v>
      </c>
      <c r="AJ156" s="60">
        <v>9.53</v>
      </c>
      <c r="AK156" s="61">
        <v>9.53</v>
      </c>
      <c r="AL156" s="180"/>
      <c r="AM156" s="180"/>
    </row>
    <row r="157" spans="14:39" ht="12.75">
      <c r="N157" s="139"/>
      <c r="O157" s="279"/>
      <c r="P157" s="69">
        <v>40</v>
      </c>
      <c r="Q157" s="60">
        <v>2.24</v>
      </c>
      <c r="R157" s="60">
        <v>2.31</v>
      </c>
      <c r="S157" s="191">
        <v>2.77</v>
      </c>
      <c r="T157" s="60">
        <v>2.87</v>
      </c>
      <c r="U157" s="60">
        <v>3.38</v>
      </c>
      <c r="V157" s="60">
        <v>3.56</v>
      </c>
      <c r="W157" s="60">
        <v>3.68</v>
      </c>
      <c r="X157" s="60">
        <v>3.91</v>
      </c>
      <c r="Y157" s="60">
        <v>5.16</v>
      </c>
      <c r="Z157" s="60">
        <v>5.49</v>
      </c>
      <c r="AA157" s="60">
        <v>6.02</v>
      </c>
      <c r="AB157" s="60">
        <v>6.55</v>
      </c>
      <c r="AC157" s="60">
        <v>7.11</v>
      </c>
      <c r="AD157" s="60">
        <v>8.18</v>
      </c>
      <c r="AE157" s="60">
        <v>9.27</v>
      </c>
      <c r="AF157" s="60">
        <v>9.53</v>
      </c>
      <c r="AG157" s="60">
        <v>11.13</v>
      </c>
      <c r="AH157" s="60">
        <v>12.7</v>
      </c>
      <c r="AI157" s="60">
        <v>14.27</v>
      </c>
      <c r="AJ157" s="60">
        <v>15.09</v>
      </c>
      <c r="AK157" s="61">
        <v>17.48</v>
      </c>
      <c r="AL157" s="180"/>
      <c r="AM157" s="180"/>
    </row>
    <row r="158" spans="14:39" ht="12.75">
      <c r="N158" s="139"/>
      <c r="O158" s="279"/>
      <c r="P158" s="69">
        <v>60</v>
      </c>
      <c r="Q158" s="60" t="s">
        <v>18</v>
      </c>
      <c r="R158" s="60" t="s">
        <v>18</v>
      </c>
      <c r="S158" s="191" t="s">
        <v>18</v>
      </c>
      <c r="T158" s="60" t="s">
        <v>18</v>
      </c>
      <c r="U158" s="60" t="s">
        <v>18</v>
      </c>
      <c r="V158" s="60" t="s">
        <v>18</v>
      </c>
      <c r="W158" s="60" t="s">
        <v>18</v>
      </c>
      <c r="X158" s="60" t="s">
        <v>18</v>
      </c>
      <c r="Y158" s="60" t="s">
        <v>18</v>
      </c>
      <c r="Z158" s="60" t="s">
        <v>18</v>
      </c>
      <c r="AA158" s="60" t="s">
        <v>18</v>
      </c>
      <c r="AB158" s="60" t="s">
        <v>18</v>
      </c>
      <c r="AC158" s="60" t="s">
        <v>18</v>
      </c>
      <c r="AD158" s="60">
        <v>10.31</v>
      </c>
      <c r="AE158" s="60">
        <v>12.7</v>
      </c>
      <c r="AF158" s="60">
        <v>14.27</v>
      </c>
      <c r="AG158" s="60">
        <v>15.09</v>
      </c>
      <c r="AH158" s="60">
        <v>16.66</v>
      </c>
      <c r="AI158" s="60">
        <v>19.05</v>
      </c>
      <c r="AJ158" s="60">
        <v>20.62</v>
      </c>
      <c r="AK158" s="61">
        <v>24.61</v>
      </c>
      <c r="AL158" s="180"/>
      <c r="AM158" s="180"/>
    </row>
    <row r="159" spans="14:39" ht="12.75">
      <c r="N159" s="139"/>
      <c r="O159" s="279"/>
      <c r="P159" s="69" t="s">
        <v>58</v>
      </c>
      <c r="Q159" s="60">
        <v>3.02</v>
      </c>
      <c r="R159" s="60">
        <v>3.02</v>
      </c>
      <c r="S159" s="191">
        <v>3.73</v>
      </c>
      <c r="T159" s="60">
        <v>3.91</v>
      </c>
      <c r="U159" s="60">
        <v>4.65</v>
      </c>
      <c r="V159" s="60">
        <v>4.85</v>
      </c>
      <c r="W159" s="60">
        <v>5.08</v>
      </c>
      <c r="X159" s="60">
        <v>5.54</v>
      </c>
      <c r="Y159" s="60">
        <v>7.01</v>
      </c>
      <c r="Z159" s="60">
        <v>7.62</v>
      </c>
      <c r="AA159" s="60">
        <v>8.56</v>
      </c>
      <c r="AB159" s="60">
        <v>9.53</v>
      </c>
      <c r="AC159" s="60">
        <v>10.97</v>
      </c>
      <c r="AD159" s="60">
        <v>12.7</v>
      </c>
      <c r="AE159" s="60">
        <v>15.09</v>
      </c>
      <c r="AF159" s="60">
        <v>12.7</v>
      </c>
      <c r="AG159" s="60">
        <v>12.7</v>
      </c>
      <c r="AH159" s="60">
        <v>12.7</v>
      </c>
      <c r="AI159" s="60" t="s">
        <v>18</v>
      </c>
      <c r="AJ159" s="60">
        <v>12.7</v>
      </c>
      <c r="AK159" s="61" t="s">
        <v>18</v>
      </c>
      <c r="AL159" s="180"/>
      <c r="AM159" s="180"/>
    </row>
    <row r="160" spans="14:39" ht="12.75">
      <c r="N160" s="139"/>
      <c r="O160" s="279"/>
      <c r="P160" s="69">
        <v>80</v>
      </c>
      <c r="Q160" s="60">
        <v>3.02</v>
      </c>
      <c r="R160" s="60">
        <v>3.02</v>
      </c>
      <c r="S160" s="191">
        <v>3.73</v>
      </c>
      <c r="T160" s="60">
        <v>3.91</v>
      </c>
      <c r="U160" s="60">
        <v>4.55</v>
      </c>
      <c r="V160" s="60">
        <v>4.85</v>
      </c>
      <c r="W160" s="60">
        <v>5.08</v>
      </c>
      <c r="X160" s="60">
        <v>5.54</v>
      </c>
      <c r="Y160" s="60">
        <v>7.01</v>
      </c>
      <c r="Z160" s="60">
        <v>7.62</v>
      </c>
      <c r="AA160" s="60">
        <v>8.56</v>
      </c>
      <c r="AB160" s="60">
        <v>9.53</v>
      </c>
      <c r="AC160" s="60">
        <v>10.97</v>
      </c>
      <c r="AD160" s="60">
        <v>12.7</v>
      </c>
      <c r="AE160" s="60">
        <v>15.09</v>
      </c>
      <c r="AF160" s="60">
        <v>17.48</v>
      </c>
      <c r="AG160" s="60">
        <v>19.05</v>
      </c>
      <c r="AH160" s="60">
        <v>21.44</v>
      </c>
      <c r="AI160" s="60">
        <v>23.83</v>
      </c>
      <c r="AJ160" s="60">
        <v>26.19</v>
      </c>
      <c r="AK160" s="61">
        <v>30.96</v>
      </c>
      <c r="AL160" s="180"/>
      <c r="AM160" s="180"/>
    </row>
    <row r="161" spans="14:39" ht="12.75">
      <c r="N161" s="139"/>
      <c r="O161" s="279"/>
      <c r="P161" s="69">
        <v>100</v>
      </c>
      <c r="Q161" s="60" t="s">
        <v>18</v>
      </c>
      <c r="R161" s="60" t="s">
        <v>18</v>
      </c>
      <c r="S161" s="191" t="s">
        <v>18</v>
      </c>
      <c r="T161" s="60" t="s">
        <v>18</v>
      </c>
      <c r="U161" s="60" t="s">
        <v>18</v>
      </c>
      <c r="V161" s="60" t="s">
        <v>18</v>
      </c>
      <c r="W161" s="60" t="s">
        <v>18</v>
      </c>
      <c r="X161" s="60" t="s">
        <v>18</v>
      </c>
      <c r="Y161" s="60" t="s">
        <v>18</v>
      </c>
      <c r="Z161" s="60" t="s">
        <v>18</v>
      </c>
      <c r="AA161" s="60" t="s">
        <v>18</v>
      </c>
      <c r="AB161" s="60" t="s">
        <v>18</v>
      </c>
      <c r="AC161" s="60" t="s">
        <v>18</v>
      </c>
      <c r="AD161" s="60">
        <v>15.09</v>
      </c>
      <c r="AE161" s="60">
        <v>18.26</v>
      </c>
      <c r="AF161" s="60">
        <v>21.44</v>
      </c>
      <c r="AG161" s="60">
        <v>23.83</v>
      </c>
      <c r="AH161" s="60">
        <v>26.2</v>
      </c>
      <c r="AI161" s="60">
        <v>29.36</v>
      </c>
      <c r="AJ161" s="60">
        <v>32.54</v>
      </c>
      <c r="AK161" s="61">
        <v>38.89</v>
      </c>
      <c r="AL161" s="180"/>
      <c r="AM161" s="180"/>
    </row>
    <row r="162" spans="14:39" ht="12.75">
      <c r="N162" s="139"/>
      <c r="O162" s="279"/>
      <c r="P162" s="69">
        <v>120</v>
      </c>
      <c r="Q162" s="60" t="s">
        <v>18</v>
      </c>
      <c r="R162" s="60" t="s">
        <v>18</v>
      </c>
      <c r="S162" s="191" t="s">
        <v>18</v>
      </c>
      <c r="T162" s="60" t="s">
        <v>18</v>
      </c>
      <c r="U162" s="60" t="s">
        <v>18</v>
      </c>
      <c r="V162" s="60" t="s">
        <v>18</v>
      </c>
      <c r="W162" s="60" t="s">
        <v>18</v>
      </c>
      <c r="X162" s="60" t="s">
        <v>18</v>
      </c>
      <c r="Y162" s="60" t="s">
        <v>18</v>
      </c>
      <c r="Z162" s="60" t="s">
        <v>18</v>
      </c>
      <c r="AA162" s="60">
        <v>11.13</v>
      </c>
      <c r="AB162" s="60">
        <v>12.7</v>
      </c>
      <c r="AC162" s="60">
        <v>14.27</v>
      </c>
      <c r="AD162" s="60">
        <v>18.26</v>
      </c>
      <c r="AE162" s="60">
        <v>21.44</v>
      </c>
      <c r="AF162" s="60">
        <v>25.4</v>
      </c>
      <c r="AG162" s="60">
        <v>27.79</v>
      </c>
      <c r="AH162" s="60">
        <v>30.96</v>
      </c>
      <c r="AI162" s="60">
        <v>34.93</v>
      </c>
      <c r="AJ162" s="60">
        <v>38.1</v>
      </c>
      <c r="AK162" s="61">
        <v>46.02</v>
      </c>
      <c r="AL162" s="180"/>
      <c r="AM162" s="180"/>
    </row>
    <row r="163" spans="14:39" ht="12.75">
      <c r="N163" s="139"/>
      <c r="O163" s="279"/>
      <c r="P163" s="69">
        <v>140</v>
      </c>
      <c r="Q163" s="60" t="s">
        <v>18</v>
      </c>
      <c r="R163" s="60" t="s">
        <v>18</v>
      </c>
      <c r="S163" s="191" t="s">
        <v>18</v>
      </c>
      <c r="T163" s="60" t="s">
        <v>18</v>
      </c>
      <c r="U163" s="60" t="s">
        <v>18</v>
      </c>
      <c r="V163" s="60" t="s">
        <v>18</v>
      </c>
      <c r="W163" s="60" t="s">
        <v>18</v>
      </c>
      <c r="X163" s="60" t="s">
        <v>18</v>
      </c>
      <c r="Y163" s="60" t="s">
        <v>18</v>
      </c>
      <c r="Z163" s="60" t="s">
        <v>18</v>
      </c>
      <c r="AA163" s="60" t="s">
        <v>18</v>
      </c>
      <c r="AB163" s="60" t="s">
        <v>18</v>
      </c>
      <c r="AC163" s="60" t="s">
        <v>18</v>
      </c>
      <c r="AD163" s="60">
        <v>20.62</v>
      </c>
      <c r="AE163" s="60">
        <v>25.4</v>
      </c>
      <c r="AF163" s="60">
        <v>28.58</v>
      </c>
      <c r="AG163" s="60">
        <v>31.75</v>
      </c>
      <c r="AH163" s="60">
        <v>36.53</v>
      </c>
      <c r="AI163" s="60">
        <v>39.67</v>
      </c>
      <c r="AJ163" s="60">
        <v>44.45</v>
      </c>
      <c r="AK163" s="61">
        <v>52.37</v>
      </c>
      <c r="AL163" s="180"/>
      <c r="AM163" s="180"/>
    </row>
    <row r="164" spans="14:39" ht="12.75">
      <c r="N164" s="139"/>
      <c r="O164" s="279"/>
      <c r="P164" s="69">
        <v>160</v>
      </c>
      <c r="Q164" s="60" t="s">
        <v>18</v>
      </c>
      <c r="R164" s="60" t="s">
        <v>18</v>
      </c>
      <c r="S164" s="191">
        <v>4.78</v>
      </c>
      <c r="T164" s="60">
        <v>5.56</v>
      </c>
      <c r="U164" s="60">
        <v>6.35</v>
      </c>
      <c r="V164" s="60">
        <v>6.35</v>
      </c>
      <c r="W164" s="60">
        <v>7.14</v>
      </c>
      <c r="X164" s="60">
        <v>8.74</v>
      </c>
      <c r="Y164" s="60">
        <v>9.53</v>
      </c>
      <c r="Z164" s="60">
        <v>11.13</v>
      </c>
      <c r="AA164" s="60">
        <v>13.49</v>
      </c>
      <c r="AB164" s="60">
        <v>15.88</v>
      </c>
      <c r="AC164" s="60">
        <v>18.26</v>
      </c>
      <c r="AD164" s="60">
        <v>22.23</v>
      </c>
      <c r="AE164" s="60">
        <v>28.58</v>
      </c>
      <c r="AF164" s="60">
        <v>33.32</v>
      </c>
      <c r="AG164" s="60">
        <v>35.71</v>
      </c>
      <c r="AH164" s="60">
        <v>40.49</v>
      </c>
      <c r="AI164" s="60">
        <v>45.24</v>
      </c>
      <c r="AJ164" s="60">
        <v>50.01</v>
      </c>
      <c r="AK164" s="61">
        <v>59.54</v>
      </c>
      <c r="AL164" s="180"/>
      <c r="AM164" s="180"/>
    </row>
    <row r="165" spans="14:39" ht="13.5" thickBot="1">
      <c r="N165" s="139"/>
      <c r="O165" s="279"/>
      <c r="P165" s="69" t="s">
        <v>59</v>
      </c>
      <c r="Q165" s="60" t="s">
        <v>18</v>
      </c>
      <c r="R165" s="60" t="s">
        <v>18</v>
      </c>
      <c r="S165" s="192">
        <v>7.47</v>
      </c>
      <c r="T165" s="63">
        <v>7.82</v>
      </c>
      <c r="U165" s="63">
        <v>9.09</v>
      </c>
      <c r="V165" s="63">
        <v>9.7</v>
      </c>
      <c r="W165" s="63">
        <v>10.16</v>
      </c>
      <c r="X165" s="63">
        <v>11.07</v>
      </c>
      <c r="Y165" s="63">
        <v>14.02</v>
      </c>
      <c r="Z165" s="63">
        <v>15.24</v>
      </c>
      <c r="AA165" s="63">
        <v>17.12</v>
      </c>
      <c r="AB165" s="63">
        <v>19.05</v>
      </c>
      <c r="AC165" s="63">
        <v>21.95</v>
      </c>
      <c r="AD165" s="63">
        <v>23.01</v>
      </c>
      <c r="AE165" s="63">
        <v>25.4</v>
      </c>
      <c r="AF165" s="63">
        <v>25.4</v>
      </c>
      <c r="AG165" s="63" t="s">
        <v>18</v>
      </c>
      <c r="AH165" s="63" t="s">
        <v>18</v>
      </c>
      <c r="AI165" s="63" t="s">
        <v>18</v>
      </c>
      <c r="AJ165" s="63" t="s">
        <v>18</v>
      </c>
      <c r="AK165" s="64" t="s">
        <v>18</v>
      </c>
      <c r="AL165" s="180"/>
      <c r="AM165" s="180"/>
    </row>
    <row r="166" ht="13.5" thickBot="1">
      <c r="N166" s="139"/>
    </row>
    <row r="167" spans="14:16" ht="13.5" thickBot="1">
      <c r="N167" s="139"/>
      <c r="O167" t="s">
        <v>63</v>
      </c>
      <c r="P167" s="168">
        <v>8</v>
      </c>
    </row>
    <row r="168" spans="14:39" ht="13.5" thickBot="1">
      <c r="N168" s="139"/>
      <c r="O168" s="278" t="s">
        <v>67</v>
      </c>
      <c r="P168" t="s">
        <v>62</v>
      </c>
      <c r="Q168" s="53" t="s">
        <v>182</v>
      </c>
      <c r="R168" s="53" t="s">
        <v>183</v>
      </c>
      <c r="S168" s="53" t="s">
        <v>0</v>
      </c>
      <c r="T168" s="54" t="s">
        <v>1</v>
      </c>
      <c r="U168" s="54">
        <v>1</v>
      </c>
      <c r="V168" s="54" t="s">
        <v>2</v>
      </c>
      <c r="W168" s="54" t="s">
        <v>3</v>
      </c>
      <c r="X168" s="54" t="s">
        <v>4</v>
      </c>
      <c r="Y168" s="54" t="s">
        <v>5</v>
      </c>
      <c r="Z168" s="54" t="s">
        <v>6</v>
      </c>
      <c r="AA168" s="54" t="s">
        <v>7</v>
      </c>
      <c r="AB168" s="54" t="s">
        <v>8</v>
      </c>
      <c r="AC168" s="54" t="s">
        <v>9</v>
      </c>
      <c r="AD168" s="54" t="s">
        <v>10</v>
      </c>
      <c r="AE168" s="54" t="s">
        <v>11</v>
      </c>
      <c r="AF168" s="54" t="s">
        <v>12</v>
      </c>
      <c r="AG168" s="54" t="s">
        <v>13</v>
      </c>
      <c r="AH168" s="54" t="s">
        <v>14</v>
      </c>
      <c r="AI168" s="54" t="s">
        <v>15</v>
      </c>
      <c r="AJ168" s="54" t="s">
        <v>16</v>
      </c>
      <c r="AK168" s="55" t="s">
        <v>17</v>
      </c>
      <c r="AL168" s="179"/>
      <c r="AM168" s="179"/>
    </row>
    <row r="169" spans="14:39" ht="12.75">
      <c r="N169" s="139"/>
      <c r="O169" s="278"/>
      <c r="P169" s="69">
        <v>5</v>
      </c>
      <c r="Q169" s="4" t="s">
        <v>18</v>
      </c>
      <c r="R169" s="4" t="s">
        <v>18</v>
      </c>
      <c r="S169" s="186">
        <v>0.8</v>
      </c>
      <c r="T169" s="74">
        <v>1.02</v>
      </c>
      <c r="U169" s="74">
        <v>1.29</v>
      </c>
      <c r="V169" s="74">
        <v>1.65</v>
      </c>
      <c r="W169" s="74">
        <v>1.9</v>
      </c>
      <c r="X169" s="74">
        <v>2.39</v>
      </c>
      <c r="Y169" s="74">
        <v>3.68</v>
      </c>
      <c r="Z169" s="74">
        <v>4.51</v>
      </c>
      <c r="AA169" s="74">
        <v>5.83</v>
      </c>
      <c r="AB169" s="74">
        <v>9.45</v>
      </c>
      <c r="AC169" s="74">
        <v>11.29</v>
      </c>
      <c r="AD169" s="74" t="s">
        <v>18</v>
      </c>
      <c r="AE169" s="74" t="s">
        <v>18</v>
      </c>
      <c r="AF169" s="74" t="s">
        <v>18</v>
      </c>
      <c r="AG169" s="74" t="s">
        <v>18</v>
      </c>
      <c r="AH169" s="74" t="s">
        <v>18</v>
      </c>
      <c r="AI169" s="74" t="s">
        <v>18</v>
      </c>
      <c r="AJ169" s="74" t="s">
        <v>18</v>
      </c>
      <c r="AK169" s="75" t="s">
        <v>18</v>
      </c>
      <c r="AL169" s="182"/>
      <c r="AM169" s="182"/>
    </row>
    <row r="170" spans="14:39" ht="12.75">
      <c r="N170" s="139"/>
      <c r="O170" s="278"/>
      <c r="P170" s="69" t="s">
        <v>60</v>
      </c>
      <c r="Q170" s="4" t="s">
        <v>18</v>
      </c>
      <c r="R170" s="4" t="s">
        <v>18</v>
      </c>
      <c r="S170" s="187">
        <v>0.8</v>
      </c>
      <c r="T170" s="76">
        <v>1.02</v>
      </c>
      <c r="U170" s="76">
        <v>1.29</v>
      </c>
      <c r="V170" s="76">
        <v>1.65</v>
      </c>
      <c r="W170" s="76">
        <v>1.9</v>
      </c>
      <c r="X170" s="76">
        <v>2.39</v>
      </c>
      <c r="Y170" s="76">
        <v>3.68</v>
      </c>
      <c r="Z170" s="76">
        <v>4.51</v>
      </c>
      <c r="AA170" s="76">
        <v>5.83</v>
      </c>
      <c r="AB170" s="76">
        <v>9.45</v>
      </c>
      <c r="AC170" s="76">
        <v>11.29</v>
      </c>
      <c r="AD170" s="76">
        <v>14.75</v>
      </c>
      <c r="AE170" s="76">
        <v>22.16</v>
      </c>
      <c r="AF170" s="76">
        <v>31.22</v>
      </c>
      <c r="AG170" s="76" t="s">
        <v>18</v>
      </c>
      <c r="AH170" s="76" t="s">
        <v>18</v>
      </c>
      <c r="AI170" s="76" t="s">
        <v>18</v>
      </c>
      <c r="AJ170" s="76" t="s">
        <v>18</v>
      </c>
      <c r="AK170" s="77" t="s">
        <v>18</v>
      </c>
      <c r="AL170" s="182"/>
      <c r="AM170" s="182"/>
    </row>
    <row r="171" spans="14:39" ht="13.5" customHeight="1">
      <c r="N171" s="139"/>
      <c r="O171" s="278"/>
      <c r="P171" s="69">
        <v>10</v>
      </c>
      <c r="Q171" s="4">
        <v>0.49</v>
      </c>
      <c r="R171" s="4">
        <v>0.63</v>
      </c>
      <c r="S171" s="187">
        <v>1</v>
      </c>
      <c r="T171" s="76">
        <v>1.28</v>
      </c>
      <c r="U171" s="76">
        <v>2.09</v>
      </c>
      <c r="V171" s="76">
        <v>2.69</v>
      </c>
      <c r="W171" s="76">
        <v>3.1</v>
      </c>
      <c r="X171" s="76">
        <v>3.93</v>
      </c>
      <c r="Y171" s="76">
        <v>5.26</v>
      </c>
      <c r="Z171" s="76">
        <v>6.45</v>
      </c>
      <c r="AA171" s="76">
        <v>8.35</v>
      </c>
      <c r="AB171" s="76">
        <v>11.56</v>
      </c>
      <c r="AC171" s="76">
        <v>13.82</v>
      </c>
      <c r="AD171" s="76">
        <v>19.94</v>
      </c>
      <c r="AE171" s="76" t="s">
        <v>18</v>
      </c>
      <c r="AF171" s="76" t="s">
        <v>18</v>
      </c>
      <c r="AG171" s="76">
        <v>54.63</v>
      </c>
      <c r="AH171" s="76">
        <v>62.58</v>
      </c>
      <c r="AI171" s="76">
        <v>70.53</v>
      </c>
      <c r="AJ171" s="76">
        <v>78.48</v>
      </c>
      <c r="AK171" s="77">
        <v>94.37</v>
      </c>
      <c r="AL171" s="182"/>
      <c r="AM171" s="182"/>
    </row>
    <row r="172" spans="14:39" ht="13.5" customHeight="1">
      <c r="N172" s="139"/>
      <c r="O172" s="278"/>
      <c r="P172" s="69" t="s">
        <v>61</v>
      </c>
      <c r="Q172" s="4">
        <v>0.49</v>
      </c>
      <c r="R172" s="4">
        <v>0.63</v>
      </c>
      <c r="S172" s="187">
        <v>1</v>
      </c>
      <c r="T172" s="76">
        <v>1.28</v>
      </c>
      <c r="U172" s="76">
        <v>2.09</v>
      </c>
      <c r="V172" s="76">
        <v>2.69</v>
      </c>
      <c r="W172" s="76">
        <v>3.1</v>
      </c>
      <c r="X172" s="76">
        <v>3.93</v>
      </c>
      <c r="Y172" s="76">
        <v>5.26</v>
      </c>
      <c r="Z172" s="76">
        <v>6.45</v>
      </c>
      <c r="AA172" s="76">
        <v>8.35</v>
      </c>
      <c r="AB172" s="76">
        <v>11.56</v>
      </c>
      <c r="AC172" s="76">
        <v>13.82</v>
      </c>
      <c r="AD172" s="76">
        <v>19.94</v>
      </c>
      <c r="AE172" s="76">
        <v>27.83</v>
      </c>
      <c r="AF172" s="76">
        <v>36.02</v>
      </c>
      <c r="AG172" s="76">
        <v>41.27</v>
      </c>
      <c r="AH172" s="76">
        <v>47.25</v>
      </c>
      <c r="AI172" s="76">
        <v>53.22</v>
      </c>
      <c r="AJ172" s="76">
        <v>68.55</v>
      </c>
      <c r="AK172" s="77">
        <v>94.37</v>
      </c>
      <c r="AL172" s="182"/>
      <c r="AM172" s="182"/>
    </row>
    <row r="173" spans="14:39" ht="13.5" customHeight="1">
      <c r="N173" s="139"/>
      <c r="O173" s="278"/>
      <c r="P173" s="69">
        <v>20</v>
      </c>
      <c r="Q173" s="4" t="s">
        <v>18</v>
      </c>
      <c r="R173" s="4" t="s">
        <v>18</v>
      </c>
      <c r="S173" s="187" t="s">
        <v>18</v>
      </c>
      <c r="T173" s="76" t="s">
        <v>18</v>
      </c>
      <c r="U173" s="76" t="s">
        <v>18</v>
      </c>
      <c r="V173" s="76" t="s">
        <v>18</v>
      </c>
      <c r="W173" s="76" t="s">
        <v>18</v>
      </c>
      <c r="X173" s="76" t="s">
        <v>18</v>
      </c>
      <c r="Y173" s="76" t="s">
        <v>18</v>
      </c>
      <c r="Z173" s="76" t="s">
        <v>18</v>
      </c>
      <c r="AA173" s="76" t="s">
        <v>18</v>
      </c>
      <c r="AB173" s="76" t="s">
        <v>18</v>
      </c>
      <c r="AC173" s="76" t="s">
        <v>18</v>
      </c>
      <c r="AD173" s="76">
        <v>33.28</v>
      </c>
      <c r="AE173" s="76">
        <v>41.73</v>
      </c>
      <c r="AF173" s="76">
        <v>49.68</v>
      </c>
      <c r="AG173" s="76">
        <v>67.88</v>
      </c>
      <c r="AH173" s="76">
        <v>77.79</v>
      </c>
      <c r="AI173" s="76">
        <v>87.72</v>
      </c>
      <c r="AJ173" s="76">
        <v>116.98</v>
      </c>
      <c r="AK173" s="77">
        <v>140.82</v>
      </c>
      <c r="AL173" s="182"/>
      <c r="AM173" s="182"/>
    </row>
    <row r="174" spans="14:39" ht="13.5" customHeight="1">
      <c r="N174" s="139"/>
      <c r="O174" s="278"/>
      <c r="P174" s="69">
        <v>30</v>
      </c>
      <c r="Q174" s="4" t="s">
        <v>18</v>
      </c>
      <c r="R174" s="4" t="s">
        <v>18</v>
      </c>
      <c r="S174" s="187" t="s">
        <v>18</v>
      </c>
      <c r="T174" s="76" t="s">
        <v>18</v>
      </c>
      <c r="U174" s="76" t="s">
        <v>18</v>
      </c>
      <c r="V174" s="76" t="s">
        <v>18</v>
      </c>
      <c r="W174" s="76" t="s">
        <v>18</v>
      </c>
      <c r="X174" s="76" t="s">
        <v>18</v>
      </c>
      <c r="Y174" s="76" t="s">
        <v>18</v>
      </c>
      <c r="Z174" s="76" t="s">
        <v>18</v>
      </c>
      <c r="AA174" s="76" t="s">
        <v>18</v>
      </c>
      <c r="AB174" s="76" t="s">
        <v>18</v>
      </c>
      <c r="AC174" s="76" t="s">
        <v>18</v>
      </c>
      <c r="AD174" s="76">
        <v>36.76</v>
      </c>
      <c r="AE174" s="76">
        <v>50.96</v>
      </c>
      <c r="AF174" s="76">
        <v>65.14</v>
      </c>
      <c r="AG174" s="76">
        <v>81.21</v>
      </c>
      <c r="AH174" s="76">
        <v>93.13</v>
      </c>
      <c r="AI174" s="76">
        <v>122.26</v>
      </c>
      <c r="AJ174" s="76">
        <v>154.97</v>
      </c>
      <c r="AK174" s="77">
        <v>209.37</v>
      </c>
      <c r="AL174" s="182"/>
      <c r="AM174" s="182"/>
    </row>
    <row r="175" spans="14:39" ht="13.5" customHeight="1">
      <c r="N175" s="139"/>
      <c r="O175" s="278"/>
      <c r="P175" s="69" t="s">
        <v>57</v>
      </c>
      <c r="Q175" s="4">
        <v>0.63</v>
      </c>
      <c r="R175" s="4">
        <v>0.84</v>
      </c>
      <c r="S175" s="187">
        <v>1.27</v>
      </c>
      <c r="T175" s="76">
        <v>1.68</v>
      </c>
      <c r="U175" s="76">
        <v>2.5</v>
      </c>
      <c r="V175" s="76">
        <v>3.38</v>
      </c>
      <c r="W175" s="76">
        <v>4.05</v>
      </c>
      <c r="X175" s="76">
        <v>5.44</v>
      </c>
      <c r="Y175" s="76">
        <v>8.62</v>
      </c>
      <c r="Z175" s="76">
        <v>11.273</v>
      </c>
      <c r="AA175" s="76">
        <v>16.06</v>
      </c>
      <c r="AB175" s="76">
        <v>21.76</v>
      </c>
      <c r="AC175" s="76">
        <v>28.23</v>
      </c>
      <c r="AD175" s="76">
        <v>42.49</v>
      </c>
      <c r="AE175" s="76">
        <v>60.24</v>
      </c>
      <c r="AF175" s="76">
        <v>73.76</v>
      </c>
      <c r="AG175" s="76">
        <v>81.21</v>
      </c>
      <c r="AH175" s="76">
        <v>93.13</v>
      </c>
      <c r="AI175" s="76">
        <v>105.06</v>
      </c>
      <c r="AJ175" s="76">
        <v>116.98</v>
      </c>
      <c r="AK175" s="77">
        <v>140.82</v>
      </c>
      <c r="AL175" s="182"/>
      <c r="AM175" s="182"/>
    </row>
    <row r="176" spans="14:39" ht="12.75">
      <c r="N176" s="139"/>
      <c r="O176" s="278"/>
      <c r="P176" s="69">
        <v>40</v>
      </c>
      <c r="Q176" s="4">
        <v>0.63</v>
      </c>
      <c r="R176" s="4">
        <v>0.84</v>
      </c>
      <c r="S176" s="187">
        <v>1.27</v>
      </c>
      <c r="T176" s="76">
        <v>1.68</v>
      </c>
      <c r="U176" s="76">
        <v>2.5</v>
      </c>
      <c r="V176" s="76">
        <v>3.38</v>
      </c>
      <c r="W176" s="76">
        <v>4.05</v>
      </c>
      <c r="X176" s="76">
        <v>5.44</v>
      </c>
      <c r="Y176" s="76">
        <v>8.62</v>
      </c>
      <c r="Z176" s="76">
        <v>11.27</v>
      </c>
      <c r="AA176" s="76">
        <v>16.06</v>
      </c>
      <c r="AB176" s="76">
        <v>21.76</v>
      </c>
      <c r="AC176" s="76">
        <v>28.23</v>
      </c>
      <c r="AD176" s="76">
        <v>42.49</v>
      </c>
      <c r="AE176" s="76">
        <v>60.24</v>
      </c>
      <c r="AF176" s="76">
        <v>79.65</v>
      </c>
      <c r="AG176" s="76">
        <v>94.41</v>
      </c>
      <c r="AH176" s="76">
        <v>123.18</v>
      </c>
      <c r="AI176" s="76">
        <v>155.78</v>
      </c>
      <c r="AJ176" s="76">
        <v>183.22</v>
      </c>
      <c r="AK176" s="77">
        <v>254.92</v>
      </c>
      <c r="AL176" s="182"/>
      <c r="AM176" s="182"/>
    </row>
    <row r="177" spans="14:39" ht="12.75">
      <c r="N177" s="139"/>
      <c r="O177" s="278"/>
      <c r="P177" s="69">
        <v>60</v>
      </c>
      <c r="Q177" s="4" t="s">
        <v>18</v>
      </c>
      <c r="R177" s="4" t="s">
        <v>18</v>
      </c>
      <c r="S177" s="187" t="s">
        <v>18</v>
      </c>
      <c r="T177" s="76" t="s">
        <v>18</v>
      </c>
      <c r="U177" s="76" t="s">
        <v>18</v>
      </c>
      <c r="V177" s="76" t="s">
        <v>18</v>
      </c>
      <c r="W177" s="76" t="s">
        <v>18</v>
      </c>
      <c r="X177" s="76" t="s">
        <v>18</v>
      </c>
      <c r="Y177" s="76" t="s">
        <v>18</v>
      </c>
      <c r="Z177" s="76" t="s">
        <v>18</v>
      </c>
      <c r="AA177" s="76" t="s">
        <v>18</v>
      </c>
      <c r="AB177" s="76" t="s">
        <v>18</v>
      </c>
      <c r="AC177" s="76" t="s">
        <v>18</v>
      </c>
      <c r="AD177" s="76">
        <v>53.04</v>
      </c>
      <c r="AE177" s="76">
        <v>81.47</v>
      </c>
      <c r="AF177" s="76">
        <v>108.87</v>
      </c>
      <c r="AG177" s="76">
        <v>126.58</v>
      </c>
      <c r="AH177" s="76">
        <v>159.99</v>
      </c>
      <c r="AI177" s="76">
        <v>205.63</v>
      </c>
      <c r="AJ177" s="76">
        <v>247.65</v>
      </c>
      <c r="AK177" s="77">
        <v>354.72</v>
      </c>
      <c r="AL177" s="182"/>
      <c r="AM177" s="182"/>
    </row>
    <row r="178" spans="14:39" ht="12.75">
      <c r="N178" s="139"/>
      <c r="O178" s="278"/>
      <c r="P178" s="69" t="s">
        <v>58</v>
      </c>
      <c r="Q178" s="4">
        <v>0.8</v>
      </c>
      <c r="R178" s="4">
        <v>1.1</v>
      </c>
      <c r="S178" s="187">
        <v>1.62</v>
      </c>
      <c r="T178" s="76">
        <v>2.19</v>
      </c>
      <c r="U178" s="76">
        <v>3.23</v>
      </c>
      <c r="V178" s="76">
        <v>4.46</v>
      </c>
      <c r="W178" s="76">
        <v>5.4</v>
      </c>
      <c r="X178" s="76">
        <v>7.47</v>
      </c>
      <c r="Y178" s="76">
        <v>11.4</v>
      </c>
      <c r="Z178" s="76">
        <v>15.25</v>
      </c>
      <c r="AA178" s="76">
        <v>22.29</v>
      </c>
      <c r="AB178" s="76">
        <v>30.93</v>
      </c>
      <c r="AC178" s="76">
        <v>42.52</v>
      </c>
      <c r="AD178" s="76">
        <v>64.58</v>
      </c>
      <c r="AE178" s="76">
        <v>81.47</v>
      </c>
      <c r="AF178" s="76">
        <v>97.36</v>
      </c>
      <c r="AG178" s="76">
        <v>107.29</v>
      </c>
      <c r="AH178" s="76">
        <v>123.18</v>
      </c>
      <c r="AI178" s="76" t="s">
        <v>18</v>
      </c>
      <c r="AJ178" s="76" t="s">
        <v>18</v>
      </c>
      <c r="AK178" s="77">
        <v>186.76</v>
      </c>
      <c r="AL178" s="182"/>
      <c r="AM178" s="182"/>
    </row>
    <row r="179" spans="14:39" ht="12.75">
      <c r="N179" s="139"/>
      <c r="O179" s="278"/>
      <c r="P179" s="69">
        <v>80</v>
      </c>
      <c r="Q179" s="4">
        <v>0.8</v>
      </c>
      <c r="R179" s="4">
        <v>1.1</v>
      </c>
      <c r="S179" s="187">
        <v>1.62</v>
      </c>
      <c r="T179" s="76">
        <v>2.19</v>
      </c>
      <c r="U179" s="76">
        <v>3.23</v>
      </c>
      <c r="V179" s="76">
        <v>4.46</v>
      </c>
      <c r="W179" s="76">
        <v>5.4</v>
      </c>
      <c r="X179" s="76">
        <v>7.47</v>
      </c>
      <c r="Y179" s="76">
        <v>11.4</v>
      </c>
      <c r="Z179" s="76">
        <v>15.25</v>
      </c>
      <c r="AA179" s="76">
        <v>22.29</v>
      </c>
      <c r="AB179" s="76">
        <v>30.93</v>
      </c>
      <c r="AC179" s="76">
        <v>42.52</v>
      </c>
      <c r="AD179" s="76">
        <v>64.58</v>
      </c>
      <c r="AE179" s="76">
        <v>95.89</v>
      </c>
      <c r="AF179" s="76">
        <v>131.9</v>
      </c>
      <c r="AG179" s="76">
        <v>157.95</v>
      </c>
      <c r="AH179" s="76">
        <v>203.31</v>
      </c>
      <c r="AI179" s="76">
        <v>254.37</v>
      </c>
      <c r="AJ179" s="76">
        <v>310.85</v>
      </c>
      <c r="AK179" s="77">
        <v>441.39</v>
      </c>
      <c r="AL179" s="182"/>
      <c r="AM179" s="182"/>
    </row>
    <row r="180" spans="14:39" ht="12.75">
      <c r="N180" s="139"/>
      <c r="O180" s="278"/>
      <c r="P180" s="69">
        <v>100</v>
      </c>
      <c r="Q180" s="4" t="s">
        <v>18</v>
      </c>
      <c r="R180" s="4" t="s">
        <v>18</v>
      </c>
      <c r="S180" s="187" t="s">
        <v>18</v>
      </c>
      <c r="T180" s="76" t="s">
        <v>18</v>
      </c>
      <c r="U180" s="76" t="s">
        <v>18</v>
      </c>
      <c r="V180" s="76" t="s">
        <v>18</v>
      </c>
      <c r="W180" s="76" t="s">
        <v>18</v>
      </c>
      <c r="X180" s="76" t="s">
        <v>18</v>
      </c>
      <c r="Y180" s="76" t="s">
        <v>18</v>
      </c>
      <c r="Z180" s="76" t="s">
        <v>18</v>
      </c>
      <c r="AA180" s="76" t="s">
        <v>18</v>
      </c>
      <c r="AB180" s="76" t="s">
        <v>18</v>
      </c>
      <c r="AC180" s="76" t="s">
        <v>18</v>
      </c>
      <c r="AD180" s="76">
        <v>75.83</v>
      </c>
      <c r="AE180" s="76">
        <v>114.64</v>
      </c>
      <c r="AF180" s="76">
        <v>159.72</v>
      </c>
      <c r="AG180" s="76">
        <v>194.74</v>
      </c>
      <c r="AH180" s="76">
        <v>245.29</v>
      </c>
      <c r="AI180" s="76">
        <v>309.5</v>
      </c>
      <c r="AJ180" s="76">
        <v>381.14</v>
      </c>
      <c r="AK180" s="77">
        <v>506.77</v>
      </c>
      <c r="AL180" s="182"/>
      <c r="AM180" s="182"/>
    </row>
    <row r="181" spans="14:39" ht="12.75">
      <c r="N181" s="139"/>
      <c r="O181" s="278"/>
      <c r="P181" s="69">
        <v>120</v>
      </c>
      <c r="Q181" s="4" t="s">
        <v>18</v>
      </c>
      <c r="R181" s="4" t="s">
        <v>18</v>
      </c>
      <c r="S181" s="187" t="s">
        <v>18</v>
      </c>
      <c r="T181" s="76" t="s">
        <v>18</v>
      </c>
      <c r="U181" s="76" t="s">
        <v>18</v>
      </c>
      <c r="V181" s="76" t="s">
        <v>18</v>
      </c>
      <c r="W181" s="76" t="s">
        <v>18</v>
      </c>
      <c r="X181" s="76" t="s">
        <v>18</v>
      </c>
      <c r="Y181" s="76" t="s">
        <v>18</v>
      </c>
      <c r="Z181" s="76" t="s">
        <v>18</v>
      </c>
      <c r="AA181" s="76">
        <v>28.28</v>
      </c>
      <c r="AB181" s="76">
        <v>40.24</v>
      </c>
      <c r="AC181" s="76">
        <v>54.16</v>
      </c>
      <c r="AD181" s="76">
        <v>90.35</v>
      </c>
      <c r="AE181" s="76">
        <v>132.89</v>
      </c>
      <c r="AF181" s="76">
        <v>186.76</v>
      </c>
      <c r="AG181" s="76">
        <v>224.58</v>
      </c>
      <c r="AH181" s="76">
        <v>286.38</v>
      </c>
      <c r="AI181" s="76">
        <v>36.34</v>
      </c>
      <c r="AJ181" s="76">
        <v>441.07</v>
      </c>
      <c r="AK181" s="77">
        <v>639.04</v>
      </c>
      <c r="AL181" s="182"/>
      <c r="AM181" s="182"/>
    </row>
    <row r="182" spans="14:39" ht="12.75">
      <c r="N182" s="139"/>
      <c r="O182" s="278"/>
      <c r="P182" s="69">
        <v>140</v>
      </c>
      <c r="Q182" s="4" t="s">
        <v>18</v>
      </c>
      <c r="R182" s="4" t="s">
        <v>18</v>
      </c>
      <c r="S182" s="187" t="s">
        <v>18</v>
      </c>
      <c r="T182" s="76" t="s">
        <v>18</v>
      </c>
      <c r="U182" s="76" t="s">
        <v>18</v>
      </c>
      <c r="V182" s="76" t="s">
        <v>18</v>
      </c>
      <c r="W182" s="76" t="s">
        <v>18</v>
      </c>
      <c r="X182" s="76" t="s">
        <v>18</v>
      </c>
      <c r="Y182" s="76" t="s">
        <v>18</v>
      </c>
      <c r="Z182" s="76" t="s">
        <v>18</v>
      </c>
      <c r="AA182" s="76" t="s">
        <v>18</v>
      </c>
      <c r="AB182" s="76" t="s">
        <v>18</v>
      </c>
      <c r="AC182" s="76" t="s">
        <v>18</v>
      </c>
      <c r="AD182" s="76">
        <v>100.84</v>
      </c>
      <c r="AE182" s="76">
        <v>154.97</v>
      </c>
      <c r="AF182" s="76">
        <v>207.86</v>
      </c>
      <c r="AG182" s="76">
        <v>253.32</v>
      </c>
      <c r="AH182" s="76">
        <v>332.83</v>
      </c>
      <c r="AI182" s="76">
        <v>408.11</v>
      </c>
      <c r="AJ182" s="76">
        <v>507.63</v>
      </c>
      <c r="AK182" s="77">
        <v>718.97</v>
      </c>
      <c r="AL182" s="182"/>
      <c r="AM182" s="182"/>
    </row>
    <row r="183" spans="14:39" ht="12.75">
      <c r="N183" s="139"/>
      <c r="O183" s="278"/>
      <c r="P183" s="69">
        <v>160</v>
      </c>
      <c r="Q183" s="4" t="s">
        <v>18</v>
      </c>
      <c r="R183" s="4" t="s">
        <v>18</v>
      </c>
      <c r="S183" s="187">
        <v>1.95</v>
      </c>
      <c r="T183" s="76">
        <v>2.89</v>
      </c>
      <c r="U183" s="76">
        <v>4.23</v>
      </c>
      <c r="V183" s="76">
        <v>5.6</v>
      </c>
      <c r="W183" s="76">
        <v>7.23</v>
      </c>
      <c r="X183" s="76">
        <v>11.11</v>
      </c>
      <c r="Y183" s="76">
        <v>14.9</v>
      </c>
      <c r="Z183" s="76">
        <v>21.31</v>
      </c>
      <c r="AA183" s="76">
        <v>33.5</v>
      </c>
      <c r="AB183" s="76">
        <v>49.05</v>
      </c>
      <c r="AC183" s="76">
        <v>67.49</v>
      </c>
      <c r="AD183" s="76">
        <v>107.78</v>
      </c>
      <c r="AE183" s="76">
        <v>172.1</v>
      </c>
      <c r="AF183" s="76">
        <v>238.52</v>
      </c>
      <c r="AG183" s="76">
        <v>281.43</v>
      </c>
      <c r="AH183" s="76">
        <v>364.99</v>
      </c>
      <c r="AI183" s="76">
        <v>459.13</v>
      </c>
      <c r="AJ183" s="76">
        <v>564.3</v>
      </c>
      <c r="AK183" s="77">
        <v>806.83</v>
      </c>
      <c r="AL183" s="182"/>
      <c r="AM183" s="182"/>
    </row>
    <row r="184" spans="14:39" ht="13.5" thickBot="1">
      <c r="N184" s="139"/>
      <c r="O184" s="278"/>
      <c r="P184" s="69" t="s">
        <v>59</v>
      </c>
      <c r="Q184" s="4" t="s">
        <v>18</v>
      </c>
      <c r="R184" s="4" t="s">
        <v>18</v>
      </c>
      <c r="S184" s="188">
        <v>2.55</v>
      </c>
      <c r="T184" s="78">
        <v>3.63</v>
      </c>
      <c r="U184" s="78">
        <v>5.45</v>
      </c>
      <c r="V184" s="78">
        <v>7.76</v>
      </c>
      <c r="W184" s="78">
        <v>9.54</v>
      </c>
      <c r="X184" s="78">
        <v>13.44</v>
      </c>
      <c r="Y184" s="78">
        <v>20.37</v>
      </c>
      <c r="Z184" s="78">
        <v>27.65</v>
      </c>
      <c r="AA184" s="78">
        <v>40.99</v>
      </c>
      <c r="AB184" s="78">
        <v>57.37</v>
      </c>
      <c r="AC184" s="78">
        <v>79.12</v>
      </c>
      <c r="AD184" s="78">
        <v>111.16</v>
      </c>
      <c r="AE184" s="78">
        <v>154.97</v>
      </c>
      <c r="AF184" s="78">
        <v>186.76</v>
      </c>
      <c r="AG184" s="78" t="s">
        <v>18</v>
      </c>
      <c r="AH184" s="78" t="s">
        <v>18</v>
      </c>
      <c r="AI184" s="78" t="s">
        <v>18</v>
      </c>
      <c r="AJ184" s="78" t="s">
        <v>18</v>
      </c>
      <c r="AK184" s="79" t="s">
        <v>18</v>
      </c>
      <c r="AL184" s="182"/>
      <c r="AM184" s="182"/>
    </row>
    <row r="185" ht="13.5" thickBot="1">
      <c r="N185" s="139"/>
    </row>
    <row r="186" spans="14:39" ht="13.5" thickBot="1">
      <c r="N186" s="139"/>
      <c r="P186" s="169">
        <v>1</v>
      </c>
      <c r="Q186" s="53" t="s">
        <v>182</v>
      </c>
      <c r="R186" s="53" t="s">
        <v>183</v>
      </c>
      <c r="S186" s="53" t="s">
        <v>0</v>
      </c>
      <c r="T186" s="54" t="s">
        <v>1</v>
      </c>
      <c r="U186" s="54">
        <v>1</v>
      </c>
      <c r="V186" s="54" t="s">
        <v>2</v>
      </c>
      <c r="W186" s="54" t="s">
        <v>3</v>
      </c>
      <c r="X186" s="54" t="s">
        <v>4</v>
      </c>
      <c r="Y186" s="54" t="s">
        <v>5</v>
      </c>
      <c r="Z186" s="54" t="s">
        <v>6</v>
      </c>
      <c r="AA186" s="54" t="s">
        <v>7</v>
      </c>
      <c r="AB186" s="54" t="s">
        <v>8</v>
      </c>
      <c r="AC186" s="54" t="s">
        <v>9</v>
      </c>
      <c r="AD186" s="54" t="s">
        <v>10</v>
      </c>
      <c r="AE186" s="54" t="s">
        <v>11</v>
      </c>
      <c r="AF186" s="54" t="s">
        <v>12</v>
      </c>
      <c r="AG186" s="54" t="s">
        <v>13</v>
      </c>
      <c r="AH186" s="54" t="s">
        <v>14</v>
      </c>
      <c r="AI186" s="54" t="s">
        <v>15</v>
      </c>
      <c r="AJ186" s="54" t="s">
        <v>16</v>
      </c>
      <c r="AK186" s="55" t="s">
        <v>17</v>
      </c>
      <c r="AL186" s="179"/>
      <c r="AM186" s="179"/>
    </row>
    <row r="187" spans="14:39" ht="12.75" customHeight="1" thickTop="1">
      <c r="N187" s="139"/>
      <c r="O187" s="263" t="s">
        <v>70</v>
      </c>
      <c r="P187" s="84"/>
      <c r="Q187" s="11">
        <v>25</v>
      </c>
      <c r="R187" s="11">
        <v>29</v>
      </c>
      <c r="S187" s="11">
        <v>33</v>
      </c>
      <c r="T187" s="11">
        <v>38</v>
      </c>
      <c r="U187" s="11">
        <v>44</v>
      </c>
      <c r="V187" s="11">
        <v>51</v>
      </c>
      <c r="W187" s="11">
        <v>60</v>
      </c>
      <c r="X187" s="11">
        <v>64</v>
      </c>
      <c r="Y187" s="11" t="s">
        <v>18</v>
      </c>
      <c r="Z187" s="11" t="s">
        <v>18</v>
      </c>
      <c r="AA187" s="11" t="s">
        <v>18</v>
      </c>
      <c r="AB187" s="11" t="s">
        <v>18</v>
      </c>
      <c r="AC187" s="11" t="s">
        <v>18</v>
      </c>
      <c r="AD187" s="11" t="s">
        <v>18</v>
      </c>
      <c r="AE187" s="11" t="s">
        <v>18</v>
      </c>
      <c r="AF187" s="11" t="s">
        <v>18</v>
      </c>
      <c r="AG187" s="11" t="s">
        <v>18</v>
      </c>
      <c r="AH187" s="11" t="s">
        <v>18</v>
      </c>
      <c r="AI187" s="11" t="s">
        <v>18</v>
      </c>
      <c r="AJ187" s="11" t="s">
        <v>18</v>
      </c>
      <c r="AK187" s="12" t="s">
        <v>18</v>
      </c>
      <c r="AL187" s="150"/>
      <c r="AM187" s="150"/>
    </row>
    <row r="188" spans="14:39" ht="12.75">
      <c r="N188" s="139"/>
      <c r="O188" s="264"/>
      <c r="P188" s="85"/>
      <c r="Q188" s="4">
        <v>19</v>
      </c>
      <c r="R188" s="4">
        <v>22</v>
      </c>
      <c r="S188" s="4">
        <v>25</v>
      </c>
      <c r="T188" s="4">
        <v>29</v>
      </c>
      <c r="U188" s="4">
        <v>33</v>
      </c>
      <c r="V188" s="4">
        <v>36</v>
      </c>
      <c r="W188" s="4">
        <v>43</v>
      </c>
      <c r="X188" s="4">
        <v>51</v>
      </c>
      <c r="Y188" s="4" t="s">
        <v>18</v>
      </c>
      <c r="Z188" s="4" t="s">
        <v>18</v>
      </c>
      <c r="AA188" s="4" t="s">
        <v>18</v>
      </c>
      <c r="AB188" s="4" t="s">
        <v>18</v>
      </c>
      <c r="AC188" s="4" t="s">
        <v>18</v>
      </c>
      <c r="AD188" s="4" t="s">
        <v>18</v>
      </c>
      <c r="AE188" s="4" t="s">
        <v>18</v>
      </c>
      <c r="AF188" s="4" t="s">
        <v>18</v>
      </c>
      <c r="AG188" s="4" t="s">
        <v>18</v>
      </c>
      <c r="AH188" s="4" t="s">
        <v>18</v>
      </c>
      <c r="AI188" s="4" t="s">
        <v>18</v>
      </c>
      <c r="AJ188" s="4" t="s">
        <v>18</v>
      </c>
      <c r="AK188" s="14" t="s">
        <v>18</v>
      </c>
      <c r="AL188" s="150"/>
      <c r="AM188" s="150"/>
    </row>
    <row r="189" spans="14:39" ht="12.75">
      <c r="N189" s="139"/>
      <c r="O189" s="264"/>
      <c r="P189" s="85"/>
      <c r="Q189" s="4">
        <v>41</v>
      </c>
      <c r="R189" s="4">
        <v>46</v>
      </c>
      <c r="S189" s="4">
        <v>49</v>
      </c>
      <c r="T189" s="4">
        <v>57</v>
      </c>
      <c r="U189" s="4">
        <v>64</v>
      </c>
      <c r="V189" s="4">
        <v>71</v>
      </c>
      <c r="W189" s="4">
        <v>78</v>
      </c>
      <c r="X189" s="4">
        <v>87</v>
      </c>
      <c r="Y189" s="4" t="s">
        <v>18</v>
      </c>
      <c r="Z189" s="4" t="s">
        <v>18</v>
      </c>
      <c r="AA189" s="4" t="s">
        <v>18</v>
      </c>
      <c r="AB189" s="4" t="s">
        <v>18</v>
      </c>
      <c r="AC189" s="4" t="s">
        <v>18</v>
      </c>
      <c r="AD189" s="4" t="s">
        <v>18</v>
      </c>
      <c r="AE189" s="4" t="s">
        <v>18</v>
      </c>
      <c r="AF189" s="4" t="s">
        <v>18</v>
      </c>
      <c r="AG189" s="4" t="s">
        <v>18</v>
      </c>
      <c r="AH189" s="4" t="s">
        <v>18</v>
      </c>
      <c r="AI189" s="4" t="s">
        <v>18</v>
      </c>
      <c r="AJ189" s="4" t="s">
        <v>18</v>
      </c>
      <c r="AK189" s="14" t="s">
        <v>18</v>
      </c>
      <c r="AL189" s="150"/>
      <c r="AM189" s="150"/>
    </row>
    <row r="190" spans="14:39" ht="12.75">
      <c r="N190" s="139"/>
      <c r="O190" s="264"/>
      <c r="P190" s="85"/>
      <c r="Q190" s="4">
        <v>19</v>
      </c>
      <c r="R190" s="4">
        <v>22</v>
      </c>
      <c r="S190" s="4">
        <v>29</v>
      </c>
      <c r="T190" s="4">
        <v>35</v>
      </c>
      <c r="U190" s="4">
        <v>44</v>
      </c>
      <c r="V190" s="4">
        <v>57</v>
      </c>
      <c r="W190" s="4">
        <v>63</v>
      </c>
      <c r="X190" s="4">
        <v>76</v>
      </c>
      <c r="Y190" s="4" t="s">
        <v>18</v>
      </c>
      <c r="Z190" s="4" t="s">
        <v>18</v>
      </c>
      <c r="AA190" s="4" t="s">
        <v>18</v>
      </c>
      <c r="AB190" s="4" t="s">
        <v>18</v>
      </c>
      <c r="AC190" s="4" t="s">
        <v>18</v>
      </c>
      <c r="AD190" s="4" t="s">
        <v>18</v>
      </c>
      <c r="AE190" s="4" t="s">
        <v>18</v>
      </c>
      <c r="AF190" s="4" t="s">
        <v>18</v>
      </c>
      <c r="AG190" s="4" t="s">
        <v>18</v>
      </c>
      <c r="AH190" s="4" t="s">
        <v>18</v>
      </c>
      <c r="AI190" s="4" t="s">
        <v>18</v>
      </c>
      <c r="AJ190" s="4" t="s">
        <v>18</v>
      </c>
      <c r="AK190" s="14" t="s">
        <v>18</v>
      </c>
      <c r="AL190" s="150"/>
      <c r="AM190" s="150"/>
    </row>
    <row r="191" spans="14:39" ht="12.75">
      <c r="N191" s="139"/>
      <c r="O191" s="264"/>
      <c r="P191" s="85"/>
      <c r="Q191" s="4">
        <v>35</v>
      </c>
      <c r="R191" s="4">
        <v>38</v>
      </c>
      <c r="S191" s="4">
        <v>48</v>
      </c>
      <c r="T191" s="4">
        <v>51</v>
      </c>
      <c r="U191" s="4">
        <v>60</v>
      </c>
      <c r="V191" s="4">
        <v>67</v>
      </c>
      <c r="W191" s="4">
        <v>79</v>
      </c>
      <c r="X191" s="4">
        <v>86</v>
      </c>
      <c r="Y191" s="4" t="s">
        <v>18</v>
      </c>
      <c r="Z191" s="4" t="s">
        <v>18</v>
      </c>
      <c r="AA191" s="4" t="s">
        <v>18</v>
      </c>
      <c r="AB191" s="4" t="s">
        <v>18</v>
      </c>
      <c r="AC191" s="4" t="s">
        <v>18</v>
      </c>
      <c r="AD191" s="4" t="s">
        <v>18</v>
      </c>
      <c r="AE191" s="4" t="s">
        <v>18</v>
      </c>
      <c r="AF191" s="4" t="s">
        <v>18</v>
      </c>
      <c r="AG191" s="4" t="s">
        <v>18</v>
      </c>
      <c r="AH191" s="4" t="s">
        <v>18</v>
      </c>
      <c r="AI191" s="4" t="s">
        <v>18</v>
      </c>
      <c r="AJ191" s="4" t="s">
        <v>18</v>
      </c>
      <c r="AK191" s="14" t="s">
        <v>18</v>
      </c>
      <c r="AL191" s="150"/>
      <c r="AM191" s="150"/>
    </row>
    <row r="192" spans="14:39" ht="12.75">
      <c r="N192" s="139"/>
      <c r="O192" s="264"/>
      <c r="P192" s="85"/>
      <c r="Q192" s="4">
        <v>21</v>
      </c>
      <c r="R192" s="4">
        <v>25</v>
      </c>
      <c r="S192" s="4">
        <v>29</v>
      </c>
      <c r="T192" s="4">
        <v>33</v>
      </c>
      <c r="U192" s="4">
        <v>38</v>
      </c>
      <c r="V192" s="4">
        <v>44</v>
      </c>
      <c r="W192" s="4">
        <v>51</v>
      </c>
      <c r="X192" s="4">
        <v>60</v>
      </c>
      <c r="Y192" s="4" t="s">
        <v>18</v>
      </c>
      <c r="Z192" s="4" t="s">
        <v>18</v>
      </c>
      <c r="AA192" s="4" t="s">
        <v>18</v>
      </c>
      <c r="AB192" s="4" t="s">
        <v>18</v>
      </c>
      <c r="AC192" s="4" t="s">
        <v>18</v>
      </c>
      <c r="AD192" s="4" t="s">
        <v>18</v>
      </c>
      <c r="AE192" s="4" t="s">
        <v>18</v>
      </c>
      <c r="AF192" s="4" t="s">
        <v>18</v>
      </c>
      <c r="AG192" s="4" t="s">
        <v>18</v>
      </c>
      <c r="AH192" s="4" t="s">
        <v>18</v>
      </c>
      <c r="AI192" s="4" t="s">
        <v>18</v>
      </c>
      <c r="AJ192" s="4" t="s">
        <v>18</v>
      </c>
      <c r="AK192" s="14" t="s">
        <v>18</v>
      </c>
      <c r="AL192" s="150"/>
      <c r="AM192" s="150"/>
    </row>
    <row r="193" spans="14:39" ht="12.75">
      <c r="N193" s="139"/>
      <c r="O193" s="264"/>
      <c r="P193" s="85"/>
      <c r="Q193" s="4">
        <v>19</v>
      </c>
      <c r="R193" s="4">
        <v>19</v>
      </c>
      <c r="S193" s="4">
        <v>22</v>
      </c>
      <c r="T193" s="4">
        <v>25</v>
      </c>
      <c r="U193" s="4">
        <v>29</v>
      </c>
      <c r="V193" s="4">
        <v>33</v>
      </c>
      <c r="W193" s="4">
        <v>37</v>
      </c>
      <c r="X193" s="4">
        <v>43</v>
      </c>
      <c r="Y193" s="4" t="s">
        <v>18</v>
      </c>
      <c r="Z193" s="4" t="s">
        <v>18</v>
      </c>
      <c r="AA193" s="4" t="s">
        <v>18</v>
      </c>
      <c r="AB193" s="4" t="s">
        <v>18</v>
      </c>
      <c r="AC193" s="4" t="s">
        <v>18</v>
      </c>
      <c r="AD193" s="4" t="s">
        <v>18</v>
      </c>
      <c r="AE193" s="4" t="s">
        <v>18</v>
      </c>
      <c r="AF193" s="4" t="s">
        <v>18</v>
      </c>
      <c r="AG193" s="4" t="s">
        <v>18</v>
      </c>
      <c r="AH193" s="4" t="s">
        <v>18</v>
      </c>
      <c r="AI193" s="4" t="s">
        <v>18</v>
      </c>
      <c r="AJ193" s="4" t="s">
        <v>18</v>
      </c>
      <c r="AK193" s="14" t="s">
        <v>18</v>
      </c>
      <c r="AL193" s="150"/>
      <c r="AM193" s="150"/>
    </row>
    <row r="194" spans="14:39" ht="12.75">
      <c r="N194" s="139"/>
      <c r="O194" s="264"/>
      <c r="P194" s="85"/>
      <c r="Q194" s="4">
        <v>41</v>
      </c>
      <c r="R194" s="4">
        <v>46</v>
      </c>
      <c r="S194" s="4">
        <v>49</v>
      </c>
      <c r="T194" s="4">
        <v>57</v>
      </c>
      <c r="U194" s="4">
        <v>64</v>
      </c>
      <c r="V194" s="4">
        <v>71</v>
      </c>
      <c r="W194" s="4">
        <v>78</v>
      </c>
      <c r="X194" s="4">
        <v>87</v>
      </c>
      <c r="Y194" s="4" t="s">
        <v>18</v>
      </c>
      <c r="Z194" s="4" t="s">
        <v>18</v>
      </c>
      <c r="AA194" s="4" t="s">
        <v>18</v>
      </c>
      <c r="AB194" s="4" t="s">
        <v>18</v>
      </c>
      <c r="AC194" s="4" t="s">
        <v>18</v>
      </c>
      <c r="AD194" s="4" t="s">
        <v>18</v>
      </c>
      <c r="AE194" s="4" t="s">
        <v>18</v>
      </c>
      <c r="AF194" s="4" t="s">
        <v>18</v>
      </c>
      <c r="AG194" s="4" t="s">
        <v>18</v>
      </c>
      <c r="AH194" s="4" t="s">
        <v>18</v>
      </c>
      <c r="AI194" s="4" t="s">
        <v>18</v>
      </c>
      <c r="AJ194" s="4" t="s">
        <v>18</v>
      </c>
      <c r="AK194" s="14" t="s">
        <v>18</v>
      </c>
      <c r="AL194" s="150"/>
      <c r="AM194" s="150"/>
    </row>
    <row r="195" spans="14:39" ht="12.75">
      <c r="N195" s="139"/>
      <c r="O195" s="264"/>
      <c r="P195" s="85"/>
      <c r="Q195" s="4">
        <v>22</v>
      </c>
      <c r="R195" s="4">
        <v>25</v>
      </c>
      <c r="S195" s="4">
        <v>32</v>
      </c>
      <c r="T195" s="4">
        <v>36</v>
      </c>
      <c r="U195" s="4">
        <v>44</v>
      </c>
      <c r="V195" s="4">
        <v>57</v>
      </c>
      <c r="W195" s="4">
        <v>64</v>
      </c>
      <c r="X195" s="4">
        <v>76</v>
      </c>
      <c r="Y195" s="4" t="s">
        <v>18</v>
      </c>
      <c r="Z195" s="4" t="s">
        <v>18</v>
      </c>
      <c r="AA195" s="4" t="s">
        <v>18</v>
      </c>
      <c r="AB195" s="4" t="s">
        <v>18</v>
      </c>
      <c r="AC195" s="4" t="s">
        <v>18</v>
      </c>
      <c r="AD195" s="4" t="s">
        <v>18</v>
      </c>
      <c r="AE195" s="4" t="s">
        <v>18</v>
      </c>
      <c r="AF195" s="4" t="s">
        <v>18</v>
      </c>
      <c r="AG195" s="4" t="s">
        <v>18</v>
      </c>
      <c r="AH195" s="4" t="s">
        <v>18</v>
      </c>
      <c r="AI195" s="4" t="s">
        <v>18</v>
      </c>
      <c r="AJ195" s="4" t="s">
        <v>18</v>
      </c>
      <c r="AK195" s="14" t="s">
        <v>18</v>
      </c>
      <c r="AL195" s="150"/>
      <c r="AM195" s="150"/>
    </row>
    <row r="196" spans="14:39" ht="13.5" thickBot="1">
      <c r="N196" s="139"/>
      <c r="O196" s="265"/>
      <c r="P196" s="88" t="s">
        <v>75</v>
      </c>
      <c r="Q196" s="18">
        <v>25</v>
      </c>
      <c r="R196" s="18">
        <v>29</v>
      </c>
      <c r="S196" s="18">
        <v>35</v>
      </c>
      <c r="T196" s="18">
        <v>38</v>
      </c>
      <c r="U196" s="18">
        <v>44</v>
      </c>
      <c r="V196" s="18">
        <v>48</v>
      </c>
      <c r="W196" s="18">
        <v>51</v>
      </c>
      <c r="X196" s="18">
        <v>64</v>
      </c>
      <c r="Y196" s="18" t="s">
        <v>18</v>
      </c>
      <c r="Z196" s="18" t="s">
        <v>18</v>
      </c>
      <c r="AA196" s="18" t="s">
        <v>18</v>
      </c>
      <c r="AB196" s="18" t="s">
        <v>18</v>
      </c>
      <c r="AC196" s="18" t="s">
        <v>18</v>
      </c>
      <c r="AD196" s="18" t="s">
        <v>18</v>
      </c>
      <c r="AE196" s="18" t="s">
        <v>18</v>
      </c>
      <c r="AF196" s="18" t="s">
        <v>18</v>
      </c>
      <c r="AG196" s="18" t="s">
        <v>18</v>
      </c>
      <c r="AH196" s="18" t="s">
        <v>18</v>
      </c>
      <c r="AI196" s="18" t="s">
        <v>18</v>
      </c>
      <c r="AJ196" s="18" t="s">
        <v>18</v>
      </c>
      <c r="AK196" s="19" t="s">
        <v>18</v>
      </c>
      <c r="AL196" s="150"/>
      <c r="AM196" s="150"/>
    </row>
    <row r="197" spans="14:39" ht="12.75" customHeight="1">
      <c r="N197" s="139"/>
      <c r="O197" s="263" t="s">
        <v>70</v>
      </c>
      <c r="P197" s="69" t="s">
        <v>76</v>
      </c>
      <c r="Q197" s="86">
        <v>29</v>
      </c>
      <c r="R197" s="86">
        <v>33</v>
      </c>
      <c r="S197" s="86">
        <v>38</v>
      </c>
      <c r="T197" s="86">
        <v>44</v>
      </c>
      <c r="U197" s="86">
        <v>51</v>
      </c>
      <c r="V197" s="86">
        <v>60</v>
      </c>
      <c r="W197" s="86">
        <v>64</v>
      </c>
      <c r="X197" s="86">
        <v>86</v>
      </c>
      <c r="Y197" s="86" t="s">
        <v>18</v>
      </c>
      <c r="Z197" s="86" t="s">
        <v>18</v>
      </c>
      <c r="AA197" s="86" t="s">
        <v>18</v>
      </c>
      <c r="AB197" s="86" t="s">
        <v>18</v>
      </c>
      <c r="AC197" s="86" t="s">
        <v>18</v>
      </c>
      <c r="AD197" s="86" t="s">
        <v>18</v>
      </c>
      <c r="AE197" s="86" t="s">
        <v>18</v>
      </c>
      <c r="AF197" s="86" t="s">
        <v>18</v>
      </c>
      <c r="AG197" s="86" t="s">
        <v>18</v>
      </c>
      <c r="AH197" s="86" t="s">
        <v>18</v>
      </c>
      <c r="AI197" s="86" t="s">
        <v>18</v>
      </c>
      <c r="AJ197" s="86" t="s">
        <v>18</v>
      </c>
      <c r="AK197" s="87" t="s">
        <v>18</v>
      </c>
      <c r="AL197" s="150"/>
      <c r="AM197" s="150"/>
    </row>
    <row r="198" spans="14:39" ht="12.75">
      <c r="N198" s="139"/>
      <c r="O198" s="264"/>
      <c r="Q198" s="4">
        <v>22</v>
      </c>
      <c r="R198" s="4">
        <v>25</v>
      </c>
      <c r="S198" s="4">
        <v>29</v>
      </c>
      <c r="T198" s="4">
        <v>33</v>
      </c>
      <c r="U198" s="4">
        <v>34</v>
      </c>
      <c r="V198" s="4">
        <v>43</v>
      </c>
      <c r="W198" s="4">
        <v>44</v>
      </c>
      <c r="X198" s="4">
        <v>52</v>
      </c>
      <c r="Y198" s="4" t="s">
        <v>18</v>
      </c>
      <c r="Z198" s="4" t="s">
        <v>18</v>
      </c>
      <c r="AA198" s="4" t="s">
        <v>18</v>
      </c>
      <c r="AB198" s="4" t="s">
        <v>18</v>
      </c>
      <c r="AC198" s="4" t="s">
        <v>18</v>
      </c>
      <c r="AD198" s="4" t="s">
        <v>18</v>
      </c>
      <c r="AE198" s="4" t="s">
        <v>18</v>
      </c>
      <c r="AF198" s="4" t="s">
        <v>18</v>
      </c>
      <c r="AG198" s="4" t="s">
        <v>18</v>
      </c>
      <c r="AH198" s="4" t="s">
        <v>18</v>
      </c>
      <c r="AI198" s="4" t="s">
        <v>18</v>
      </c>
      <c r="AJ198" s="4" t="s">
        <v>18</v>
      </c>
      <c r="AK198" s="82" t="s">
        <v>18</v>
      </c>
      <c r="AL198" s="150"/>
      <c r="AM198" s="150"/>
    </row>
    <row r="199" spans="14:39" ht="12.75">
      <c r="N199" s="139"/>
      <c r="O199" s="264"/>
      <c r="Q199" s="4">
        <v>48</v>
      </c>
      <c r="R199" s="4">
        <v>51</v>
      </c>
      <c r="S199" s="4">
        <v>59</v>
      </c>
      <c r="T199" s="4">
        <v>64</v>
      </c>
      <c r="U199" s="4">
        <v>71</v>
      </c>
      <c r="V199" s="4" t="s">
        <v>18</v>
      </c>
      <c r="W199" s="4" t="s">
        <v>18</v>
      </c>
      <c r="X199" s="4" t="s">
        <v>18</v>
      </c>
      <c r="Y199" s="4" t="s">
        <v>18</v>
      </c>
      <c r="Z199" s="4" t="s">
        <v>18</v>
      </c>
      <c r="AA199" s="4" t="s">
        <v>18</v>
      </c>
      <c r="AB199" s="4" t="s">
        <v>18</v>
      </c>
      <c r="AC199" s="4" t="s">
        <v>18</v>
      </c>
      <c r="AD199" s="4" t="s">
        <v>18</v>
      </c>
      <c r="AE199" s="4" t="s">
        <v>18</v>
      </c>
      <c r="AF199" s="4" t="s">
        <v>18</v>
      </c>
      <c r="AG199" s="4" t="s">
        <v>18</v>
      </c>
      <c r="AH199" s="4" t="s">
        <v>18</v>
      </c>
      <c r="AI199" s="4" t="s">
        <v>18</v>
      </c>
      <c r="AJ199" s="4" t="s">
        <v>18</v>
      </c>
      <c r="AK199" s="82" t="s">
        <v>18</v>
      </c>
      <c r="AL199" s="150"/>
      <c r="AM199" s="150"/>
    </row>
    <row r="200" spans="14:39" ht="12.75">
      <c r="N200" s="139"/>
      <c r="O200" s="264"/>
      <c r="Q200" s="4">
        <v>25</v>
      </c>
      <c r="R200" s="4">
        <v>32</v>
      </c>
      <c r="S200" s="4">
        <v>38</v>
      </c>
      <c r="T200" s="4">
        <v>44</v>
      </c>
      <c r="U200" s="4">
        <v>57</v>
      </c>
      <c r="V200" s="4">
        <v>64</v>
      </c>
      <c r="W200" s="4">
        <v>76</v>
      </c>
      <c r="X200" s="4">
        <v>92</v>
      </c>
      <c r="Y200" s="4" t="s">
        <v>18</v>
      </c>
      <c r="Z200" s="4" t="s">
        <v>18</v>
      </c>
      <c r="AA200" s="4" t="s">
        <v>18</v>
      </c>
      <c r="AB200" s="4" t="s">
        <v>18</v>
      </c>
      <c r="AC200" s="4" t="s">
        <v>18</v>
      </c>
      <c r="AD200" s="4" t="s">
        <v>18</v>
      </c>
      <c r="AE200" s="4" t="s">
        <v>18</v>
      </c>
      <c r="AF200" s="4" t="s">
        <v>18</v>
      </c>
      <c r="AG200" s="4" t="s">
        <v>18</v>
      </c>
      <c r="AH200" s="4" t="s">
        <v>18</v>
      </c>
      <c r="AI200" s="4" t="s">
        <v>18</v>
      </c>
      <c r="AJ200" s="4" t="s">
        <v>18</v>
      </c>
      <c r="AK200" s="82" t="s">
        <v>18</v>
      </c>
      <c r="AL200" s="150"/>
      <c r="AM200" s="150"/>
    </row>
    <row r="201" spans="14:39" ht="12.75">
      <c r="N201" s="139"/>
      <c r="O201" s="264"/>
      <c r="Q201" s="4">
        <v>35</v>
      </c>
      <c r="R201" s="4">
        <v>38</v>
      </c>
      <c r="S201" s="4">
        <v>48</v>
      </c>
      <c r="T201" s="4">
        <v>51</v>
      </c>
      <c r="U201" s="4">
        <v>60</v>
      </c>
      <c r="V201" s="4">
        <v>67</v>
      </c>
      <c r="W201" s="4">
        <v>79</v>
      </c>
      <c r="X201" s="4">
        <v>86</v>
      </c>
      <c r="Y201" s="4" t="s">
        <v>18</v>
      </c>
      <c r="Z201" s="4" t="s">
        <v>18</v>
      </c>
      <c r="AA201" s="4" t="s">
        <v>18</v>
      </c>
      <c r="AB201" s="4" t="s">
        <v>18</v>
      </c>
      <c r="AC201" s="4" t="s">
        <v>18</v>
      </c>
      <c r="AD201" s="4" t="s">
        <v>18</v>
      </c>
      <c r="AE201" s="4" t="s">
        <v>18</v>
      </c>
      <c r="AF201" s="4" t="s">
        <v>18</v>
      </c>
      <c r="AG201" s="4" t="s">
        <v>18</v>
      </c>
      <c r="AH201" s="4" t="s">
        <v>18</v>
      </c>
      <c r="AI201" s="4" t="s">
        <v>18</v>
      </c>
      <c r="AJ201" s="4" t="s">
        <v>18</v>
      </c>
      <c r="AK201" s="82" t="s">
        <v>18</v>
      </c>
      <c r="AL201" s="150"/>
      <c r="AM201" s="150"/>
    </row>
    <row r="202" spans="14:39" ht="12.75">
      <c r="N202" s="139"/>
      <c r="O202" s="264"/>
      <c r="Q202" s="4" t="s">
        <v>18</v>
      </c>
      <c r="R202" s="4">
        <v>29</v>
      </c>
      <c r="S202" s="4">
        <v>33</v>
      </c>
      <c r="T202" s="4">
        <v>38</v>
      </c>
      <c r="U202" s="4">
        <v>44</v>
      </c>
      <c r="V202" s="4">
        <v>51</v>
      </c>
      <c r="W202" s="4">
        <v>60</v>
      </c>
      <c r="X202" s="4">
        <v>64</v>
      </c>
      <c r="Y202" s="4" t="s">
        <v>18</v>
      </c>
      <c r="Z202" s="4" t="s">
        <v>18</v>
      </c>
      <c r="AA202" s="4" t="s">
        <v>18</v>
      </c>
      <c r="AB202" s="4" t="s">
        <v>18</v>
      </c>
      <c r="AC202" s="4" t="s">
        <v>18</v>
      </c>
      <c r="AD202" s="4" t="s">
        <v>18</v>
      </c>
      <c r="AE202" s="4" t="s">
        <v>18</v>
      </c>
      <c r="AF202" s="4" t="s">
        <v>18</v>
      </c>
      <c r="AG202" s="4" t="s">
        <v>18</v>
      </c>
      <c r="AH202" s="4" t="s">
        <v>18</v>
      </c>
      <c r="AI202" s="4" t="s">
        <v>18</v>
      </c>
      <c r="AJ202" s="4" t="s">
        <v>18</v>
      </c>
      <c r="AK202" s="82" t="s">
        <v>18</v>
      </c>
      <c r="AL202" s="150"/>
      <c r="AM202" s="150"/>
    </row>
    <row r="203" spans="14:39" ht="12.75">
      <c r="N203" s="139"/>
      <c r="O203" s="264"/>
      <c r="Q203" s="4" t="s">
        <v>18</v>
      </c>
      <c r="R203" s="4">
        <v>22</v>
      </c>
      <c r="S203" s="4">
        <v>25</v>
      </c>
      <c r="T203" s="4">
        <v>29</v>
      </c>
      <c r="U203" s="4">
        <v>33</v>
      </c>
      <c r="V203" s="4">
        <v>34</v>
      </c>
      <c r="W203" s="4">
        <v>43</v>
      </c>
      <c r="X203" s="4">
        <v>44</v>
      </c>
      <c r="Y203" s="4" t="s">
        <v>18</v>
      </c>
      <c r="Z203" s="4" t="s">
        <v>18</v>
      </c>
      <c r="AA203" s="4" t="s">
        <v>18</v>
      </c>
      <c r="AB203" s="4" t="s">
        <v>18</v>
      </c>
      <c r="AC203" s="4" t="s">
        <v>18</v>
      </c>
      <c r="AD203" s="4" t="s">
        <v>18</v>
      </c>
      <c r="AE203" s="4" t="s">
        <v>18</v>
      </c>
      <c r="AF203" s="4" t="s">
        <v>18</v>
      </c>
      <c r="AG203" s="4" t="s">
        <v>18</v>
      </c>
      <c r="AH203" s="4" t="s">
        <v>18</v>
      </c>
      <c r="AI203" s="4" t="s">
        <v>18</v>
      </c>
      <c r="AJ203" s="4" t="s">
        <v>18</v>
      </c>
      <c r="AK203" s="82" t="s">
        <v>18</v>
      </c>
      <c r="AL203" s="150"/>
      <c r="AM203" s="150"/>
    </row>
    <row r="204" spans="14:39" ht="12.75">
      <c r="N204" s="139"/>
      <c r="O204" s="264"/>
      <c r="Q204" s="4" t="s">
        <v>18</v>
      </c>
      <c r="R204" s="4">
        <v>51</v>
      </c>
      <c r="S204" s="4">
        <v>59</v>
      </c>
      <c r="T204" s="4">
        <v>63</v>
      </c>
      <c r="U204" s="4">
        <v>71</v>
      </c>
      <c r="V204" s="4" t="s">
        <v>18</v>
      </c>
      <c r="W204" s="4" t="s">
        <v>18</v>
      </c>
      <c r="X204" s="4" t="s">
        <v>18</v>
      </c>
      <c r="Y204" s="4" t="s">
        <v>18</v>
      </c>
      <c r="Z204" s="4" t="s">
        <v>18</v>
      </c>
      <c r="AA204" s="4" t="s">
        <v>18</v>
      </c>
      <c r="AB204" s="4" t="s">
        <v>18</v>
      </c>
      <c r="AC204" s="4" t="s">
        <v>18</v>
      </c>
      <c r="AD204" s="4" t="s">
        <v>18</v>
      </c>
      <c r="AE204" s="4" t="s">
        <v>18</v>
      </c>
      <c r="AF204" s="4" t="s">
        <v>18</v>
      </c>
      <c r="AG204" s="4" t="s">
        <v>18</v>
      </c>
      <c r="AH204" s="4" t="s">
        <v>18</v>
      </c>
      <c r="AI204" s="4" t="s">
        <v>18</v>
      </c>
      <c r="AJ204" s="4" t="s">
        <v>18</v>
      </c>
      <c r="AK204" s="82" t="s">
        <v>18</v>
      </c>
      <c r="AL204" s="150"/>
      <c r="AM204" s="150"/>
    </row>
    <row r="205" spans="14:39" ht="12.75">
      <c r="N205" s="139"/>
      <c r="O205" s="264"/>
      <c r="Q205" s="4" t="s">
        <v>18</v>
      </c>
      <c r="R205" s="4">
        <v>33</v>
      </c>
      <c r="S205" s="4">
        <v>38</v>
      </c>
      <c r="T205" s="4">
        <v>44</v>
      </c>
      <c r="U205" s="4">
        <v>57</v>
      </c>
      <c r="V205" s="4">
        <v>64</v>
      </c>
      <c r="W205" s="4">
        <v>76</v>
      </c>
      <c r="X205" s="4">
        <v>92</v>
      </c>
      <c r="Y205" s="4" t="s">
        <v>18</v>
      </c>
      <c r="Z205" s="4" t="s">
        <v>18</v>
      </c>
      <c r="AA205" s="4" t="s">
        <v>18</v>
      </c>
      <c r="AB205" s="4" t="s">
        <v>18</v>
      </c>
      <c r="AC205" s="4" t="s">
        <v>18</v>
      </c>
      <c r="AD205" s="4" t="s">
        <v>18</v>
      </c>
      <c r="AE205" s="4" t="s">
        <v>18</v>
      </c>
      <c r="AF205" s="4" t="s">
        <v>18</v>
      </c>
      <c r="AG205" s="4" t="s">
        <v>18</v>
      </c>
      <c r="AH205" s="4" t="s">
        <v>18</v>
      </c>
      <c r="AI205" s="4" t="s">
        <v>18</v>
      </c>
      <c r="AJ205" s="4" t="s">
        <v>18</v>
      </c>
      <c r="AK205" s="82" t="s">
        <v>18</v>
      </c>
      <c r="AL205" s="150"/>
      <c r="AM205" s="150"/>
    </row>
    <row r="206" spans="14:39" ht="13.5" thickBot="1">
      <c r="N206" s="139"/>
      <c r="O206" s="265"/>
      <c r="Q206" s="8" t="s">
        <v>18</v>
      </c>
      <c r="R206" s="8">
        <v>29</v>
      </c>
      <c r="S206" s="8">
        <v>35</v>
      </c>
      <c r="T206" s="8">
        <v>38</v>
      </c>
      <c r="U206" s="8">
        <v>44</v>
      </c>
      <c r="V206" s="8">
        <v>48</v>
      </c>
      <c r="W206" s="8">
        <v>51</v>
      </c>
      <c r="X206" s="8">
        <v>64</v>
      </c>
      <c r="Y206" s="8" t="s">
        <v>18</v>
      </c>
      <c r="Z206" s="8" t="s">
        <v>18</v>
      </c>
      <c r="AA206" s="8" t="s">
        <v>18</v>
      </c>
      <c r="AB206" s="8" t="s">
        <v>18</v>
      </c>
      <c r="AC206" s="8" t="s">
        <v>18</v>
      </c>
      <c r="AD206" s="8" t="s">
        <v>18</v>
      </c>
      <c r="AE206" s="8" t="s">
        <v>18</v>
      </c>
      <c r="AF206" s="8" t="s">
        <v>18</v>
      </c>
      <c r="AG206" s="8" t="s">
        <v>18</v>
      </c>
      <c r="AH206" s="8" t="s">
        <v>18</v>
      </c>
      <c r="AI206" s="8" t="s">
        <v>18</v>
      </c>
      <c r="AJ206" s="8" t="s">
        <v>18</v>
      </c>
      <c r="AK206" s="83" t="s">
        <v>18</v>
      </c>
      <c r="AL206" s="150"/>
      <c r="AM206" s="150"/>
    </row>
    <row r="207" ht="13.5" thickBot="1">
      <c r="N207" s="139"/>
    </row>
    <row r="208" spans="14:39" ht="12.75">
      <c r="N208" s="139"/>
      <c r="O208" s="263" t="s">
        <v>77</v>
      </c>
      <c r="Q208" s="90">
        <v>10</v>
      </c>
      <c r="R208" s="90">
        <v>10</v>
      </c>
      <c r="S208" s="90">
        <v>13</v>
      </c>
      <c r="T208" s="90">
        <v>14</v>
      </c>
      <c r="U208" s="90">
        <v>17</v>
      </c>
      <c r="V208" s="90">
        <v>17</v>
      </c>
      <c r="W208" s="90">
        <v>17</v>
      </c>
      <c r="X208" s="90">
        <v>19</v>
      </c>
      <c r="Y208" s="90" t="s">
        <v>18</v>
      </c>
      <c r="Z208" s="90" t="s">
        <v>18</v>
      </c>
      <c r="AA208" s="90" t="s">
        <v>18</v>
      </c>
      <c r="AB208" s="90" t="s">
        <v>18</v>
      </c>
      <c r="AC208" s="90" t="s">
        <v>18</v>
      </c>
      <c r="AD208" s="90" t="s">
        <v>18</v>
      </c>
      <c r="AE208" s="90" t="s">
        <v>18</v>
      </c>
      <c r="AF208" s="90" t="s">
        <v>18</v>
      </c>
      <c r="AG208" s="90" t="s">
        <v>18</v>
      </c>
      <c r="AH208" s="90" t="s">
        <v>18</v>
      </c>
      <c r="AI208" s="90" t="s">
        <v>18</v>
      </c>
      <c r="AJ208" s="90" t="s">
        <v>18</v>
      </c>
      <c r="AK208" s="91" t="s">
        <v>18</v>
      </c>
      <c r="AL208" s="150"/>
      <c r="AM208" s="150"/>
    </row>
    <row r="209" spans="14:39" ht="12.75">
      <c r="N209" s="139"/>
      <c r="O209" s="264"/>
      <c r="Q209" s="4">
        <v>10</v>
      </c>
      <c r="R209" s="4">
        <v>11</v>
      </c>
      <c r="S209" s="4">
        <v>13</v>
      </c>
      <c r="T209" s="4">
        <v>14</v>
      </c>
      <c r="U209" s="4">
        <v>16</v>
      </c>
      <c r="V209" s="4">
        <v>17</v>
      </c>
      <c r="W209" s="4">
        <v>19</v>
      </c>
      <c r="X209" s="4">
        <v>22</v>
      </c>
      <c r="Y209" s="4" t="s">
        <v>18</v>
      </c>
      <c r="Z209" s="4" t="s">
        <v>18</v>
      </c>
      <c r="AA209" s="4" t="s">
        <v>18</v>
      </c>
      <c r="AB209" s="4" t="s">
        <v>18</v>
      </c>
      <c r="AC209" s="4" t="s">
        <v>18</v>
      </c>
      <c r="AD209" s="4" t="s">
        <v>18</v>
      </c>
      <c r="AE209" s="4" t="s">
        <v>18</v>
      </c>
      <c r="AF209" s="4" t="s">
        <v>18</v>
      </c>
      <c r="AG209" s="4" t="s">
        <v>18</v>
      </c>
      <c r="AH209" s="4" t="s">
        <v>18</v>
      </c>
      <c r="AI209" s="4" t="s">
        <v>18</v>
      </c>
      <c r="AJ209" s="4" t="s">
        <v>18</v>
      </c>
      <c r="AK209" s="82" t="s">
        <v>18</v>
      </c>
      <c r="AL209" s="150"/>
      <c r="AM209" s="150"/>
    </row>
    <row r="210" spans="14:39" ht="12.75">
      <c r="N210" s="139"/>
      <c r="O210" s="264"/>
      <c r="Q210" s="4">
        <v>80</v>
      </c>
      <c r="R210" s="4">
        <v>80</v>
      </c>
      <c r="S210" s="4">
        <v>74</v>
      </c>
      <c r="T210" s="4">
        <v>72</v>
      </c>
      <c r="U210" s="4">
        <v>66</v>
      </c>
      <c r="V210" s="4">
        <v>66</v>
      </c>
      <c r="W210" s="4">
        <v>66</v>
      </c>
      <c r="X210" s="4">
        <v>62</v>
      </c>
      <c r="Y210" s="4" t="s">
        <v>18</v>
      </c>
      <c r="Z210" s="4" t="s">
        <v>18</v>
      </c>
      <c r="AA210" s="4" t="s">
        <v>18</v>
      </c>
      <c r="AB210" s="4" t="s">
        <v>18</v>
      </c>
      <c r="AC210" s="4" t="s">
        <v>18</v>
      </c>
      <c r="AD210" s="4" t="s">
        <v>18</v>
      </c>
      <c r="AE210" s="4" t="s">
        <v>18</v>
      </c>
      <c r="AF210" s="4" t="s">
        <v>18</v>
      </c>
      <c r="AG210" s="4" t="s">
        <v>18</v>
      </c>
      <c r="AH210" s="4" t="s">
        <v>18</v>
      </c>
      <c r="AI210" s="4" t="s">
        <v>18</v>
      </c>
      <c r="AJ210" s="4" t="s">
        <v>18</v>
      </c>
      <c r="AK210" s="82" t="s">
        <v>18</v>
      </c>
      <c r="AL210" s="150"/>
      <c r="AM210" s="150"/>
    </row>
    <row r="211" spans="14:39" ht="12.75">
      <c r="N211" s="139"/>
      <c r="O211" s="264"/>
      <c r="Q211" s="4">
        <v>80</v>
      </c>
      <c r="R211" s="4">
        <v>79</v>
      </c>
      <c r="S211" s="4">
        <v>74</v>
      </c>
      <c r="T211" s="4">
        <v>72</v>
      </c>
      <c r="U211" s="4">
        <v>67</v>
      </c>
      <c r="V211" s="4">
        <v>66</v>
      </c>
      <c r="W211" s="4">
        <v>64</v>
      </c>
      <c r="X211" s="4">
        <v>59</v>
      </c>
      <c r="Y211" s="4" t="s">
        <v>18</v>
      </c>
      <c r="Z211" s="4" t="s">
        <v>18</v>
      </c>
      <c r="AA211" s="4" t="s">
        <v>18</v>
      </c>
      <c r="AB211" s="4" t="s">
        <v>18</v>
      </c>
      <c r="AC211" s="4" t="s">
        <v>18</v>
      </c>
      <c r="AD211" s="4" t="s">
        <v>18</v>
      </c>
      <c r="AE211" s="4" t="s">
        <v>18</v>
      </c>
      <c r="AF211" s="4" t="s">
        <v>18</v>
      </c>
      <c r="AG211" s="4" t="s">
        <v>18</v>
      </c>
      <c r="AH211" s="4" t="s">
        <v>18</v>
      </c>
      <c r="AI211" s="4" t="s">
        <v>18</v>
      </c>
      <c r="AJ211" s="4" t="s">
        <v>18</v>
      </c>
      <c r="AK211" s="82" t="s">
        <v>18</v>
      </c>
      <c r="AL211" s="150"/>
      <c r="AM211" s="150"/>
    </row>
    <row r="212" spans="14:39" ht="12.75">
      <c r="N212" s="139"/>
      <c r="O212" s="264"/>
      <c r="Q212" s="4">
        <v>80</v>
      </c>
      <c r="R212" s="4">
        <v>78</v>
      </c>
      <c r="S212" s="4">
        <v>74</v>
      </c>
      <c r="T212" s="4">
        <v>72</v>
      </c>
      <c r="U212" s="4">
        <v>68</v>
      </c>
      <c r="V212" s="4">
        <v>66</v>
      </c>
      <c r="W212" s="4">
        <v>62</v>
      </c>
      <c r="X212" s="4">
        <v>56</v>
      </c>
      <c r="Y212" s="4" t="s">
        <v>18</v>
      </c>
      <c r="Z212" s="4" t="s">
        <v>18</v>
      </c>
      <c r="AA212" s="4" t="s">
        <v>18</v>
      </c>
      <c r="AB212" s="4" t="s">
        <v>18</v>
      </c>
      <c r="AC212" s="4" t="s">
        <v>18</v>
      </c>
      <c r="AD212" s="4" t="s">
        <v>18</v>
      </c>
      <c r="AE212" s="4" t="s">
        <v>18</v>
      </c>
      <c r="AF212" s="4" t="s">
        <v>18</v>
      </c>
      <c r="AG212" s="4" t="s">
        <v>18</v>
      </c>
      <c r="AH212" s="4" t="s">
        <v>18</v>
      </c>
      <c r="AI212" s="4" t="s">
        <v>18</v>
      </c>
      <c r="AJ212" s="4" t="s">
        <v>18</v>
      </c>
      <c r="AK212" s="82" t="s">
        <v>18</v>
      </c>
      <c r="AL212" s="150"/>
      <c r="AM212" s="150"/>
    </row>
    <row r="213" spans="14:39" ht="13.5" thickBot="1">
      <c r="N213" s="139"/>
      <c r="O213" s="265"/>
      <c r="Q213" s="92" t="s">
        <v>18</v>
      </c>
      <c r="R213" s="92" t="s">
        <v>18</v>
      </c>
      <c r="S213" s="92">
        <v>70</v>
      </c>
      <c r="T213" s="92">
        <v>76</v>
      </c>
      <c r="U213" s="92">
        <v>89</v>
      </c>
      <c r="V213" s="92">
        <v>102</v>
      </c>
      <c r="W213" s="92">
        <v>114</v>
      </c>
      <c r="X213" s="92">
        <v>165</v>
      </c>
      <c r="Y213" s="92" t="s">
        <v>18</v>
      </c>
      <c r="Z213" s="92" t="s">
        <v>18</v>
      </c>
      <c r="AA213" s="92" t="s">
        <v>18</v>
      </c>
      <c r="AB213" s="92" t="s">
        <v>18</v>
      </c>
      <c r="AC213" s="92" t="s">
        <v>18</v>
      </c>
      <c r="AD213" s="92" t="s">
        <v>18</v>
      </c>
      <c r="AE213" s="92" t="s">
        <v>18</v>
      </c>
      <c r="AF213" s="92" t="s">
        <v>18</v>
      </c>
      <c r="AG213" s="92" t="s">
        <v>18</v>
      </c>
      <c r="AH213" s="92" t="s">
        <v>18</v>
      </c>
      <c r="AI213" s="92" t="s">
        <v>18</v>
      </c>
      <c r="AJ213" s="92" t="s">
        <v>18</v>
      </c>
      <c r="AK213" s="93" t="s">
        <v>18</v>
      </c>
      <c r="AL213" s="150"/>
      <c r="AM213" s="150"/>
    </row>
    <row r="214" spans="14:39" ht="12.75">
      <c r="N214" s="139"/>
      <c r="O214" s="263" t="s">
        <v>78</v>
      </c>
      <c r="Q214" s="94" t="s">
        <v>18</v>
      </c>
      <c r="R214" s="94">
        <v>15</v>
      </c>
      <c r="S214" s="94">
        <v>17</v>
      </c>
      <c r="T214" s="94">
        <v>19</v>
      </c>
      <c r="U214" s="94">
        <v>22</v>
      </c>
      <c r="V214" s="94">
        <v>24</v>
      </c>
      <c r="W214" s="94">
        <v>29</v>
      </c>
      <c r="X214" s="94">
        <v>25</v>
      </c>
      <c r="Y214" s="94" t="s">
        <v>18</v>
      </c>
      <c r="Z214" s="94" t="s">
        <v>18</v>
      </c>
      <c r="AA214" s="94" t="s">
        <v>18</v>
      </c>
      <c r="AB214" s="94" t="s">
        <v>18</v>
      </c>
      <c r="AC214" s="94" t="s">
        <v>18</v>
      </c>
      <c r="AD214" s="94" t="s">
        <v>18</v>
      </c>
      <c r="AE214" s="94" t="s">
        <v>18</v>
      </c>
      <c r="AF214" s="94" t="s">
        <v>18</v>
      </c>
      <c r="AG214" s="94" t="s">
        <v>18</v>
      </c>
      <c r="AH214" s="94" t="s">
        <v>18</v>
      </c>
      <c r="AI214" s="94" t="s">
        <v>18</v>
      </c>
      <c r="AJ214" s="94" t="s">
        <v>18</v>
      </c>
      <c r="AK214" s="95" t="s">
        <v>18</v>
      </c>
      <c r="AL214" s="183"/>
      <c r="AM214" s="183"/>
    </row>
    <row r="215" spans="14:39" ht="12.75">
      <c r="N215" s="139"/>
      <c r="O215" s="264"/>
      <c r="Q215" s="96" t="s">
        <v>18</v>
      </c>
      <c r="R215" s="96">
        <v>75</v>
      </c>
      <c r="S215" s="96">
        <v>70</v>
      </c>
      <c r="T215" s="96">
        <v>67</v>
      </c>
      <c r="U215" s="96">
        <v>61</v>
      </c>
      <c r="V215" s="96">
        <v>59</v>
      </c>
      <c r="W215" s="96">
        <v>54</v>
      </c>
      <c r="X215" s="96">
        <v>56</v>
      </c>
      <c r="Y215" s="96" t="s">
        <v>18</v>
      </c>
      <c r="Z215" s="96" t="s">
        <v>18</v>
      </c>
      <c r="AA215" s="96" t="s">
        <v>18</v>
      </c>
      <c r="AB215" s="96" t="s">
        <v>18</v>
      </c>
      <c r="AC215" s="96" t="s">
        <v>18</v>
      </c>
      <c r="AD215" s="96" t="s">
        <v>18</v>
      </c>
      <c r="AE215" s="96" t="s">
        <v>18</v>
      </c>
      <c r="AF215" s="96" t="s">
        <v>18</v>
      </c>
      <c r="AG215" s="96" t="s">
        <v>18</v>
      </c>
      <c r="AH215" s="96" t="s">
        <v>18</v>
      </c>
      <c r="AI215" s="96" t="s">
        <v>18</v>
      </c>
      <c r="AJ215" s="96" t="s">
        <v>18</v>
      </c>
      <c r="AK215" s="97" t="s">
        <v>18</v>
      </c>
      <c r="AL215" s="183"/>
      <c r="AM215" s="183"/>
    </row>
    <row r="216" spans="14:39" ht="13.5" thickBot="1">
      <c r="N216" s="139"/>
      <c r="O216" s="265"/>
      <c r="Q216" s="98" t="s">
        <v>18</v>
      </c>
      <c r="R216" s="98">
        <v>70</v>
      </c>
      <c r="S216" s="98">
        <v>66</v>
      </c>
      <c r="T216" s="98">
        <v>62</v>
      </c>
      <c r="U216" s="98">
        <v>56</v>
      </c>
      <c r="V216" s="98">
        <v>52</v>
      </c>
      <c r="W216" s="98">
        <v>42</v>
      </c>
      <c r="X216" s="98">
        <v>50</v>
      </c>
      <c r="Y216" s="98" t="s">
        <v>18</v>
      </c>
      <c r="Z216" s="98" t="s">
        <v>18</v>
      </c>
      <c r="AA216" s="98" t="s">
        <v>18</v>
      </c>
      <c r="AB216" s="98" t="s">
        <v>18</v>
      </c>
      <c r="AC216" s="98" t="s">
        <v>18</v>
      </c>
      <c r="AD216" s="98" t="s">
        <v>18</v>
      </c>
      <c r="AE216" s="98" t="s">
        <v>18</v>
      </c>
      <c r="AF216" s="98" t="s">
        <v>18</v>
      </c>
      <c r="AG216" s="98" t="s">
        <v>18</v>
      </c>
      <c r="AH216" s="98" t="s">
        <v>18</v>
      </c>
      <c r="AI216" s="98" t="s">
        <v>18</v>
      </c>
      <c r="AJ216" s="98" t="s">
        <v>18</v>
      </c>
      <c r="AK216" s="99" t="s">
        <v>18</v>
      </c>
      <c r="AL216" s="183"/>
      <c r="AM216" s="183"/>
    </row>
    <row r="217" ht="13.5" thickBot="1">
      <c r="N217" s="139"/>
    </row>
    <row r="218" spans="14:21" ht="13.5" thickBot="1">
      <c r="N218" s="139"/>
      <c r="S218" s="141" t="s">
        <v>79</v>
      </c>
      <c r="T218" s="100" t="s">
        <v>79</v>
      </c>
      <c r="U218" s="100" t="s">
        <v>79</v>
      </c>
    </row>
    <row r="219" spans="14:21" ht="12.75">
      <c r="N219" s="139"/>
      <c r="S219" s="142" t="s">
        <v>80</v>
      </c>
      <c r="T219" t="s">
        <v>87</v>
      </c>
      <c r="U219" t="s">
        <v>97</v>
      </c>
    </row>
    <row r="220" spans="14:21" ht="12.75">
      <c r="N220" s="139"/>
      <c r="S220" s="142" t="s">
        <v>81</v>
      </c>
      <c r="T220" t="s">
        <v>88</v>
      </c>
      <c r="U220" t="s">
        <v>98</v>
      </c>
    </row>
    <row r="221" spans="14:21" ht="12.75">
      <c r="N221" s="139"/>
      <c r="S221" s="142" t="s">
        <v>82</v>
      </c>
      <c r="T221" t="s">
        <v>89</v>
      </c>
      <c r="U221" t="s">
        <v>102</v>
      </c>
    </row>
    <row r="222" spans="14:21" ht="12.75">
      <c r="N222" s="139"/>
      <c r="S222" s="142" t="s">
        <v>83</v>
      </c>
      <c r="T222" t="s">
        <v>92</v>
      </c>
      <c r="U222" t="s">
        <v>99</v>
      </c>
    </row>
    <row r="223" spans="14:21" ht="12.75">
      <c r="N223" s="139"/>
      <c r="S223" s="142" t="s">
        <v>84</v>
      </c>
      <c r="T223" t="s">
        <v>90</v>
      </c>
      <c r="U223" t="s">
        <v>100</v>
      </c>
    </row>
    <row r="224" spans="14:21" ht="12.75">
      <c r="N224" s="139"/>
      <c r="S224" s="142" t="s">
        <v>85</v>
      </c>
      <c r="T224" t="s">
        <v>91</v>
      </c>
      <c r="U224" t="s">
        <v>101</v>
      </c>
    </row>
    <row r="225" spans="14:19" ht="12.75">
      <c r="N225" s="139"/>
      <c r="S225" s="142" t="s">
        <v>86</v>
      </c>
    </row>
    <row r="226" spans="14:19" ht="12.75">
      <c r="N226" s="139"/>
      <c r="S226" s="142" t="s">
        <v>95</v>
      </c>
    </row>
    <row r="227" spans="14:19" ht="12.75">
      <c r="N227" s="139"/>
      <c r="S227" s="142" t="s">
        <v>96</v>
      </c>
    </row>
    <row r="228" spans="14:19" ht="12.75">
      <c r="N228" s="139"/>
      <c r="S228" s="142" t="s">
        <v>87</v>
      </c>
    </row>
    <row r="229" spans="14:19" ht="12.75">
      <c r="N229" s="139"/>
      <c r="S229" s="142" t="s">
        <v>94</v>
      </c>
    </row>
    <row r="230" spans="14:19" ht="12.75">
      <c r="N230" s="139"/>
      <c r="S230" s="142" t="s">
        <v>93</v>
      </c>
    </row>
    <row r="231" ht="13.5" thickBot="1">
      <c r="N231" s="139"/>
    </row>
    <row r="232" spans="14:39" ht="13.5" thickBot="1">
      <c r="N232" s="139"/>
      <c r="O232" t="s">
        <v>119</v>
      </c>
      <c r="Q232" s="53" t="s">
        <v>182</v>
      </c>
      <c r="R232" s="53" t="s">
        <v>183</v>
      </c>
      <c r="S232" s="53" t="s">
        <v>0</v>
      </c>
      <c r="T232" s="54" t="s">
        <v>1</v>
      </c>
      <c r="U232" s="54">
        <v>1</v>
      </c>
      <c r="V232" s="54" t="s">
        <v>2</v>
      </c>
      <c r="W232" s="54" t="s">
        <v>3</v>
      </c>
      <c r="X232" s="54" t="s">
        <v>4</v>
      </c>
      <c r="Y232" s="54" t="s">
        <v>5</v>
      </c>
      <c r="Z232" s="54" t="s">
        <v>6</v>
      </c>
      <c r="AA232" s="54" t="s">
        <v>7</v>
      </c>
      <c r="AB232" s="54" t="s">
        <v>8</v>
      </c>
      <c r="AC232" s="54" t="s">
        <v>9</v>
      </c>
      <c r="AD232" s="54" t="s">
        <v>10</v>
      </c>
      <c r="AE232" s="54" t="s">
        <v>11</v>
      </c>
      <c r="AF232" s="54" t="s">
        <v>12</v>
      </c>
      <c r="AG232" s="54" t="s">
        <v>13</v>
      </c>
      <c r="AH232" s="54" t="s">
        <v>14</v>
      </c>
      <c r="AI232" s="54" t="s">
        <v>15</v>
      </c>
      <c r="AJ232" s="54" t="s">
        <v>16</v>
      </c>
      <c r="AK232" s="55" t="s">
        <v>17</v>
      </c>
      <c r="AL232" s="179"/>
      <c r="AM232" s="179"/>
    </row>
    <row r="233" spans="14:39" ht="12.75">
      <c r="N233" s="139"/>
      <c r="O233" s="263" t="s">
        <v>115</v>
      </c>
      <c r="P233" t="s">
        <v>109</v>
      </c>
      <c r="Q233" s="104" t="s">
        <v>18</v>
      </c>
      <c r="R233" s="104" t="s">
        <v>18</v>
      </c>
      <c r="S233" s="103" t="s">
        <v>18</v>
      </c>
      <c r="T233" s="104">
        <v>184</v>
      </c>
      <c r="U233" s="104">
        <v>184</v>
      </c>
      <c r="V233" s="104">
        <v>200</v>
      </c>
      <c r="W233" s="104">
        <v>222</v>
      </c>
      <c r="X233" s="104">
        <v>254</v>
      </c>
      <c r="Y233" s="104">
        <v>276</v>
      </c>
      <c r="Z233" s="104">
        <v>298</v>
      </c>
      <c r="AA233" s="104">
        <v>352</v>
      </c>
      <c r="AB233" s="104" t="s">
        <v>18</v>
      </c>
      <c r="AC233" s="104">
        <v>451</v>
      </c>
      <c r="AD233" s="104">
        <v>543</v>
      </c>
      <c r="AE233" s="104">
        <v>625</v>
      </c>
      <c r="AF233" s="104">
        <v>730</v>
      </c>
      <c r="AG233" s="104" t="s">
        <v>18</v>
      </c>
      <c r="AH233" s="104" t="s">
        <v>18</v>
      </c>
      <c r="AI233" s="104" t="s">
        <v>18</v>
      </c>
      <c r="AJ233" s="104" t="s">
        <v>18</v>
      </c>
      <c r="AK233" s="105" t="s">
        <v>18</v>
      </c>
      <c r="AL233" s="184"/>
      <c r="AM233" s="184"/>
    </row>
    <row r="234" spans="14:39" ht="12.75">
      <c r="N234" s="139"/>
      <c r="O234" s="264"/>
      <c r="P234" t="s">
        <v>110</v>
      </c>
      <c r="Q234" s="107" t="s">
        <v>18</v>
      </c>
      <c r="R234" s="107" t="s">
        <v>18</v>
      </c>
      <c r="S234" s="106" t="s">
        <v>18</v>
      </c>
      <c r="T234" s="107" t="s">
        <v>18</v>
      </c>
      <c r="U234" s="107">
        <v>203</v>
      </c>
      <c r="V234" s="107">
        <v>219</v>
      </c>
      <c r="W234" s="107">
        <v>241</v>
      </c>
      <c r="X234" s="107">
        <v>273</v>
      </c>
      <c r="Y234" s="107">
        <v>298</v>
      </c>
      <c r="Z234" s="107">
        <v>321</v>
      </c>
      <c r="AA234" s="107">
        <v>365</v>
      </c>
      <c r="AB234" s="107" t="s">
        <v>18</v>
      </c>
      <c r="AC234" s="107">
        <v>464</v>
      </c>
      <c r="AD234" s="107">
        <v>556</v>
      </c>
      <c r="AE234" s="107">
        <v>638</v>
      </c>
      <c r="AF234" s="107">
        <v>743</v>
      </c>
      <c r="AG234" s="107" t="s">
        <v>18</v>
      </c>
      <c r="AH234" s="107" t="s">
        <v>18</v>
      </c>
      <c r="AI234" s="107" t="s">
        <v>18</v>
      </c>
      <c r="AJ234" s="107" t="s">
        <v>18</v>
      </c>
      <c r="AK234" s="108" t="s">
        <v>18</v>
      </c>
      <c r="AL234" s="184"/>
      <c r="AM234" s="184"/>
    </row>
    <row r="235" spans="14:39" ht="12.75">
      <c r="N235" s="139"/>
      <c r="O235" s="264"/>
      <c r="P235" t="s">
        <v>111</v>
      </c>
      <c r="Q235" s="107" t="s">
        <v>18</v>
      </c>
      <c r="R235" s="107" t="s">
        <v>18</v>
      </c>
      <c r="S235" s="106" t="s">
        <v>18</v>
      </c>
      <c r="T235" s="107">
        <v>194</v>
      </c>
      <c r="U235" s="107">
        <v>197</v>
      </c>
      <c r="V235" s="107">
        <v>213</v>
      </c>
      <c r="W235" s="107">
        <v>235</v>
      </c>
      <c r="X235" s="107">
        <v>267</v>
      </c>
      <c r="Y235" s="107">
        <v>292</v>
      </c>
      <c r="Z235" s="107">
        <v>317</v>
      </c>
      <c r="AA235" s="107">
        <v>368</v>
      </c>
      <c r="AB235" s="107" t="s">
        <v>18</v>
      </c>
      <c r="AC235" s="107">
        <v>473</v>
      </c>
      <c r="AD235" s="107">
        <v>568</v>
      </c>
      <c r="AE235" s="107">
        <v>660</v>
      </c>
      <c r="AF235" s="107">
        <v>768</v>
      </c>
      <c r="AG235" s="107" t="s">
        <v>18</v>
      </c>
      <c r="AH235" s="107" t="s">
        <v>18</v>
      </c>
      <c r="AI235" s="107" t="s">
        <v>18</v>
      </c>
      <c r="AJ235" s="107" t="s">
        <v>18</v>
      </c>
      <c r="AK235" s="108" t="s">
        <v>18</v>
      </c>
      <c r="AL235" s="184"/>
      <c r="AM235" s="184"/>
    </row>
    <row r="236" spans="14:39" ht="12.75">
      <c r="N236" s="139"/>
      <c r="O236" s="264"/>
      <c r="P236" t="s">
        <v>112</v>
      </c>
      <c r="Q236" s="107" t="s">
        <v>18</v>
      </c>
      <c r="R236" s="107" t="s">
        <v>18</v>
      </c>
      <c r="S236" s="106" t="s">
        <v>18</v>
      </c>
      <c r="T236" s="107">
        <v>206</v>
      </c>
      <c r="U236" s="107">
        <v>210</v>
      </c>
      <c r="V236" s="107">
        <v>225</v>
      </c>
      <c r="W236" s="107">
        <v>248</v>
      </c>
      <c r="X236" s="107">
        <v>283</v>
      </c>
      <c r="Y236" s="107">
        <v>308</v>
      </c>
      <c r="Z236" s="107">
        <v>333</v>
      </c>
      <c r="AA236" s="107">
        <v>384</v>
      </c>
      <c r="AB236" s="107" t="s">
        <v>18</v>
      </c>
      <c r="AC236" s="107">
        <v>489</v>
      </c>
      <c r="AD236" s="107">
        <v>584</v>
      </c>
      <c r="AE236" s="107">
        <v>676</v>
      </c>
      <c r="AF236" s="107">
        <v>784</v>
      </c>
      <c r="AG236" s="107" t="s">
        <v>18</v>
      </c>
      <c r="AH236" s="107" t="s">
        <v>18</v>
      </c>
      <c r="AI236" s="107" t="s">
        <v>18</v>
      </c>
      <c r="AJ236" s="107" t="s">
        <v>18</v>
      </c>
      <c r="AK236" s="108" t="s">
        <v>18</v>
      </c>
      <c r="AL236" s="184"/>
      <c r="AM236" s="184"/>
    </row>
    <row r="237" spans="14:39" ht="12.75">
      <c r="N237" s="139"/>
      <c r="O237" s="264"/>
      <c r="P237" t="s">
        <v>113</v>
      </c>
      <c r="Q237" s="107" t="s">
        <v>18</v>
      </c>
      <c r="R237" s="107" t="s">
        <v>18</v>
      </c>
      <c r="S237" s="106" t="s">
        <v>18</v>
      </c>
      <c r="T237" s="107">
        <v>206</v>
      </c>
      <c r="U237" s="107">
        <v>210</v>
      </c>
      <c r="V237" s="107">
        <v>229</v>
      </c>
      <c r="W237" s="107">
        <v>251</v>
      </c>
      <c r="X237" s="107">
        <v>286</v>
      </c>
      <c r="Y237" s="107">
        <v>311</v>
      </c>
      <c r="Z237" s="107">
        <v>337</v>
      </c>
      <c r="AA237" s="107">
        <v>394</v>
      </c>
      <c r="AB237" s="107" t="s">
        <v>18</v>
      </c>
      <c r="AC237" s="107">
        <v>508</v>
      </c>
      <c r="AD237" s="107">
        <v>610</v>
      </c>
      <c r="AE237" s="107">
        <v>705</v>
      </c>
      <c r="AF237" s="107">
        <v>813</v>
      </c>
      <c r="AG237" s="107" t="s">
        <v>18</v>
      </c>
      <c r="AH237" s="107" t="s">
        <v>18</v>
      </c>
      <c r="AI237" s="107" t="s">
        <v>18</v>
      </c>
      <c r="AJ237" s="107" t="s">
        <v>18</v>
      </c>
      <c r="AK237" s="108" t="s">
        <v>18</v>
      </c>
      <c r="AL237" s="184"/>
      <c r="AM237" s="184"/>
    </row>
    <row r="238" spans="14:39" ht="13.5" thickBot="1">
      <c r="N238" s="139"/>
      <c r="O238" s="265"/>
      <c r="P238" t="s">
        <v>114</v>
      </c>
      <c r="Q238" s="107" t="s">
        <v>18</v>
      </c>
      <c r="R238" s="107" t="s">
        <v>18</v>
      </c>
      <c r="S238" s="106" t="s">
        <v>18</v>
      </c>
      <c r="T238" s="107">
        <v>206</v>
      </c>
      <c r="U238" s="107">
        <v>210</v>
      </c>
      <c r="V238" s="107">
        <v>229</v>
      </c>
      <c r="W238" s="107">
        <v>251</v>
      </c>
      <c r="X238" s="107">
        <v>289</v>
      </c>
      <c r="Y238" s="107">
        <v>314</v>
      </c>
      <c r="Z238" s="107">
        <v>340</v>
      </c>
      <c r="AA238" s="107">
        <v>397</v>
      </c>
      <c r="AB238" s="107" t="s">
        <v>18</v>
      </c>
      <c r="AC238" s="107">
        <v>511</v>
      </c>
      <c r="AD238" s="107">
        <v>613</v>
      </c>
      <c r="AE238" s="107">
        <v>708</v>
      </c>
      <c r="AF238" s="107">
        <v>816</v>
      </c>
      <c r="AG238" s="107" t="s">
        <v>18</v>
      </c>
      <c r="AH238" s="107" t="s">
        <v>18</v>
      </c>
      <c r="AI238" s="107" t="s">
        <v>18</v>
      </c>
      <c r="AJ238" s="107" t="s">
        <v>18</v>
      </c>
      <c r="AK238" s="108" t="s">
        <v>18</v>
      </c>
      <c r="AL238" s="184"/>
      <c r="AM238" s="184"/>
    </row>
    <row r="239" spans="14:39" ht="12.75">
      <c r="N239" s="139"/>
      <c r="P239" t="s">
        <v>116</v>
      </c>
      <c r="Q239" s="107" t="s">
        <v>18</v>
      </c>
      <c r="R239" s="107" t="s">
        <v>18</v>
      </c>
      <c r="S239" s="106" t="s">
        <v>18</v>
      </c>
      <c r="T239" s="107">
        <v>279</v>
      </c>
      <c r="U239" s="107">
        <v>279</v>
      </c>
      <c r="V239" s="107">
        <v>279</v>
      </c>
      <c r="W239" s="107">
        <v>279</v>
      </c>
      <c r="X239" s="107">
        <v>330</v>
      </c>
      <c r="Y239" s="107">
        <v>330</v>
      </c>
      <c r="Z239" s="107">
        <v>381</v>
      </c>
      <c r="AA239" s="107">
        <v>381</v>
      </c>
      <c r="AB239" s="107" t="s">
        <v>18</v>
      </c>
      <c r="AC239" s="107">
        <v>445</v>
      </c>
      <c r="AD239" s="107">
        <v>527</v>
      </c>
      <c r="AE239" s="107">
        <v>527</v>
      </c>
      <c r="AF239" s="107">
        <v>527</v>
      </c>
      <c r="AG239" s="107" t="s">
        <v>18</v>
      </c>
      <c r="AH239" s="107" t="s">
        <v>18</v>
      </c>
      <c r="AI239" s="107" t="s">
        <v>18</v>
      </c>
      <c r="AJ239" s="107" t="s">
        <v>18</v>
      </c>
      <c r="AK239" s="108" t="s">
        <v>18</v>
      </c>
      <c r="AL239" s="184"/>
      <c r="AM239" s="184"/>
    </row>
    <row r="240" spans="14:39" ht="12.75">
      <c r="N240" s="139"/>
      <c r="P240" t="s">
        <v>117</v>
      </c>
      <c r="Q240" s="107" t="s">
        <v>18</v>
      </c>
      <c r="R240" s="107" t="s">
        <v>18</v>
      </c>
      <c r="S240" s="106" t="s">
        <v>18</v>
      </c>
      <c r="T240" s="107">
        <v>540</v>
      </c>
      <c r="U240" s="107">
        <v>540</v>
      </c>
      <c r="V240" s="107">
        <v>549</v>
      </c>
      <c r="W240" s="107">
        <v>552</v>
      </c>
      <c r="X240" s="107">
        <v>591</v>
      </c>
      <c r="Y240" s="107">
        <v>606</v>
      </c>
      <c r="Z240" s="107">
        <v>737</v>
      </c>
      <c r="AA240" s="107">
        <v>740</v>
      </c>
      <c r="AB240" s="107" t="s">
        <v>18</v>
      </c>
      <c r="AC240" s="107">
        <v>886</v>
      </c>
      <c r="AD240" s="107">
        <v>1010</v>
      </c>
      <c r="AE240" s="107">
        <v>1064</v>
      </c>
      <c r="AF240" s="107">
        <v>1343</v>
      </c>
      <c r="AG240" s="107" t="s">
        <v>18</v>
      </c>
      <c r="AH240" s="107" t="s">
        <v>18</v>
      </c>
      <c r="AI240" s="107" t="s">
        <v>18</v>
      </c>
      <c r="AJ240" s="107" t="s">
        <v>18</v>
      </c>
      <c r="AK240" s="108" t="s">
        <v>18</v>
      </c>
      <c r="AL240" s="184"/>
      <c r="AM240" s="184"/>
    </row>
    <row r="241" spans="14:39" ht="13.5" thickBot="1">
      <c r="N241" s="139"/>
      <c r="P241" t="s">
        <v>118</v>
      </c>
      <c r="Q241" s="110" t="s">
        <v>18</v>
      </c>
      <c r="R241" s="110" t="s">
        <v>18</v>
      </c>
      <c r="S241" s="109" t="s">
        <v>18</v>
      </c>
      <c r="T241" s="110">
        <v>114</v>
      </c>
      <c r="U241" s="110">
        <v>114</v>
      </c>
      <c r="V241" s="110">
        <v>121</v>
      </c>
      <c r="W241" s="110">
        <v>136</v>
      </c>
      <c r="X241" s="110">
        <v>152</v>
      </c>
      <c r="Y241" s="110">
        <v>182</v>
      </c>
      <c r="Z241" s="110">
        <v>197</v>
      </c>
      <c r="AA241" s="110">
        <v>206</v>
      </c>
      <c r="AB241" s="110" t="s">
        <v>18</v>
      </c>
      <c r="AC241" s="110">
        <v>286</v>
      </c>
      <c r="AD241" s="110">
        <v>340</v>
      </c>
      <c r="AE241" s="110">
        <v>393</v>
      </c>
      <c r="AF241" s="110">
        <v>451</v>
      </c>
      <c r="AG241" s="110" t="s">
        <v>18</v>
      </c>
      <c r="AH241" s="110" t="s">
        <v>18</v>
      </c>
      <c r="AI241" s="110" t="s">
        <v>18</v>
      </c>
      <c r="AJ241" s="110" t="s">
        <v>18</v>
      </c>
      <c r="AK241" s="111" t="s">
        <v>18</v>
      </c>
      <c r="AL241" s="184"/>
      <c r="AM241" s="184"/>
    </row>
    <row r="242" ht="13.5" thickBot="1">
      <c r="N242" s="139"/>
    </row>
    <row r="243" spans="14:23" ht="13.5" thickBot="1">
      <c r="N243" s="139"/>
      <c r="O243" t="s">
        <v>137</v>
      </c>
      <c r="P243" s="170">
        <v>7</v>
      </c>
      <c r="Q243" s="170"/>
      <c r="R243" s="170"/>
      <c r="S243" s="114" t="s">
        <v>141</v>
      </c>
      <c r="T243" s="115" t="s">
        <v>142</v>
      </c>
      <c r="U243" s="115" t="s">
        <v>138</v>
      </c>
      <c r="V243" s="115" t="s">
        <v>116</v>
      </c>
      <c r="W243" s="116" t="s">
        <v>117</v>
      </c>
    </row>
    <row r="244" spans="14:23" ht="12.75">
      <c r="N244" s="139"/>
      <c r="P244" t="s">
        <v>118</v>
      </c>
      <c r="S244" s="112" t="s">
        <v>139</v>
      </c>
      <c r="T244" s="113" t="s">
        <v>140</v>
      </c>
      <c r="U244" s="86">
        <v>105</v>
      </c>
      <c r="V244" s="86">
        <v>114</v>
      </c>
      <c r="W244" s="87">
        <v>263</v>
      </c>
    </row>
    <row r="245" spans="14:23" ht="12.75">
      <c r="N245" s="139"/>
      <c r="P245" t="s">
        <v>124</v>
      </c>
      <c r="S245" s="80" t="s">
        <v>139</v>
      </c>
      <c r="T245" s="4" t="s">
        <v>140</v>
      </c>
      <c r="U245" s="4">
        <v>105</v>
      </c>
      <c r="V245" s="4">
        <v>114</v>
      </c>
      <c r="W245" s="82">
        <v>263</v>
      </c>
    </row>
    <row r="246" spans="14:23" ht="12.75">
      <c r="N246" s="139"/>
      <c r="P246" t="s">
        <v>125</v>
      </c>
      <c r="S246" s="80" t="s">
        <v>143</v>
      </c>
      <c r="T246" s="4" t="s">
        <v>140</v>
      </c>
      <c r="U246" s="4">
        <v>124</v>
      </c>
      <c r="V246" s="4">
        <v>152</v>
      </c>
      <c r="W246" s="82">
        <v>333</v>
      </c>
    </row>
    <row r="247" spans="14:23" ht="12.75">
      <c r="N247" s="139"/>
      <c r="P247" t="s">
        <v>126</v>
      </c>
      <c r="S247" s="80" t="s">
        <v>143</v>
      </c>
      <c r="T247" s="4" t="s">
        <v>144</v>
      </c>
      <c r="U247" s="4">
        <v>124</v>
      </c>
      <c r="V247" s="4">
        <v>152</v>
      </c>
      <c r="W247" s="82">
        <v>333</v>
      </c>
    </row>
    <row r="248" spans="14:23" ht="12.75">
      <c r="N248" s="139"/>
      <c r="P248" t="s">
        <v>127</v>
      </c>
      <c r="S248" s="80" t="s">
        <v>140</v>
      </c>
      <c r="T248" s="4" t="s">
        <v>145</v>
      </c>
      <c r="U248" s="4">
        <v>130</v>
      </c>
      <c r="V248" s="4">
        <v>124</v>
      </c>
      <c r="W248" s="82">
        <v>340</v>
      </c>
    </row>
    <row r="249" spans="14:23" ht="12.75">
      <c r="N249" s="139"/>
      <c r="P249" t="s">
        <v>128</v>
      </c>
      <c r="S249" s="80" t="s">
        <v>144</v>
      </c>
      <c r="T249" s="4" t="s">
        <v>146</v>
      </c>
      <c r="U249" s="4">
        <v>136</v>
      </c>
      <c r="V249" s="4">
        <v>143</v>
      </c>
      <c r="W249" s="82">
        <v>385</v>
      </c>
    </row>
    <row r="250" spans="14:23" ht="12.75">
      <c r="N250" s="139"/>
      <c r="P250" t="s">
        <v>129</v>
      </c>
      <c r="S250" s="80" t="s">
        <v>145</v>
      </c>
      <c r="T250" s="4" t="s">
        <v>146</v>
      </c>
      <c r="U250" s="4">
        <v>156</v>
      </c>
      <c r="V250" s="4">
        <v>162</v>
      </c>
      <c r="W250" s="82">
        <v>467</v>
      </c>
    </row>
    <row r="251" spans="14:23" ht="12.75">
      <c r="N251" s="139"/>
      <c r="P251" t="s">
        <v>130</v>
      </c>
      <c r="S251" s="80" t="s">
        <v>146</v>
      </c>
      <c r="T251" s="4" t="s">
        <v>147</v>
      </c>
      <c r="U251" s="4">
        <v>179</v>
      </c>
      <c r="V251" s="4">
        <v>181</v>
      </c>
      <c r="W251" s="82">
        <v>500</v>
      </c>
    </row>
    <row r="252" spans="14:23" ht="12.75">
      <c r="N252" s="139"/>
      <c r="P252" t="s">
        <v>131</v>
      </c>
      <c r="S252" s="80" t="s">
        <v>146</v>
      </c>
      <c r="T252" s="4" t="s">
        <v>147</v>
      </c>
      <c r="U252" s="4">
        <v>178</v>
      </c>
      <c r="V252" s="4">
        <v>184</v>
      </c>
      <c r="W252" s="82">
        <v>578</v>
      </c>
    </row>
    <row r="253" spans="14:23" ht="12.75">
      <c r="N253" s="139"/>
      <c r="P253" t="s">
        <v>132</v>
      </c>
      <c r="S253" s="80" t="s">
        <v>146</v>
      </c>
      <c r="T253" s="4" t="s">
        <v>147</v>
      </c>
      <c r="U253" s="4">
        <v>197</v>
      </c>
      <c r="V253" s="4">
        <v>270</v>
      </c>
      <c r="W253" s="82">
        <v>616</v>
      </c>
    </row>
    <row r="254" spans="14:23" ht="12.75">
      <c r="N254" s="139"/>
      <c r="P254" t="s">
        <v>135</v>
      </c>
      <c r="S254" s="80" t="s">
        <v>146</v>
      </c>
      <c r="T254" s="4" t="s">
        <v>147</v>
      </c>
      <c r="U254" s="4">
        <v>225</v>
      </c>
      <c r="V254" s="4">
        <v>254</v>
      </c>
      <c r="W254" s="82">
        <v>696</v>
      </c>
    </row>
    <row r="255" spans="14:23" ht="12.75">
      <c r="N255" s="139"/>
      <c r="P255" t="s">
        <v>136</v>
      </c>
      <c r="S255" s="80" t="s">
        <v>147</v>
      </c>
      <c r="T255" s="4" t="s">
        <v>148</v>
      </c>
      <c r="U255" s="4">
        <v>240</v>
      </c>
      <c r="V255" s="4">
        <v>241</v>
      </c>
      <c r="W255" s="82">
        <v>725</v>
      </c>
    </row>
    <row r="256" spans="14:23" ht="12.75">
      <c r="N256" s="139"/>
      <c r="P256" t="s">
        <v>133</v>
      </c>
      <c r="S256" s="80" t="s">
        <v>147</v>
      </c>
      <c r="T256" s="4" t="s">
        <v>148</v>
      </c>
      <c r="U256" s="4">
        <v>240</v>
      </c>
      <c r="V256" s="4">
        <v>241</v>
      </c>
      <c r="W256" s="82">
        <v>725</v>
      </c>
    </row>
    <row r="257" spans="14:23" ht="13.5" thickBot="1">
      <c r="N257" s="139"/>
      <c r="P257" t="s">
        <v>134</v>
      </c>
      <c r="S257" s="81" t="s">
        <v>148</v>
      </c>
      <c r="T257" s="8" t="s">
        <v>149</v>
      </c>
      <c r="U257" s="4">
        <v>240</v>
      </c>
      <c r="V257" s="8">
        <v>267</v>
      </c>
      <c r="W257" s="83">
        <v>725</v>
      </c>
    </row>
    <row r="258" ht="13.5" thickBot="1">
      <c r="N258" s="139"/>
    </row>
    <row r="259" spans="14:27" ht="13.5" thickBot="1">
      <c r="N259" s="139"/>
      <c r="S259" s="151" t="s">
        <v>72</v>
      </c>
      <c r="T259" s="152"/>
      <c r="U259" s="153"/>
      <c r="V259" s="151" t="s">
        <v>73</v>
      </c>
      <c r="W259" s="152"/>
      <c r="X259" s="153"/>
      <c r="Y259" s="151" t="s">
        <v>74</v>
      </c>
      <c r="Z259" s="152"/>
      <c r="AA259" s="153"/>
    </row>
    <row r="260" spans="14:27" ht="12.75">
      <c r="N260" s="139"/>
      <c r="S260" s="89">
        <v>2</v>
      </c>
      <c r="T260" s="90">
        <v>4</v>
      </c>
      <c r="U260" s="105">
        <v>3</v>
      </c>
      <c r="V260" s="89">
        <v>2</v>
      </c>
      <c r="W260" s="90">
        <v>5</v>
      </c>
      <c r="X260" s="105">
        <v>6</v>
      </c>
      <c r="Y260" s="89">
        <v>4</v>
      </c>
      <c r="Z260" s="90">
        <v>5</v>
      </c>
      <c r="AA260" s="105">
        <v>5</v>
      </c>
    </row>
    <row r="261" spans="14:27" ht="12.75">
      <c r="N261" s="139"/>
      <c r="S261" s="80">
        <v>38</v>
      </c>
      <c r="T261" s="4">
        <v>57</v>
      </c>
      <c r="U261" s="82" t="s">
        <v>18</v>
      </c>
      <c r="V261" s="80">
        <v>38</v>
      </c>
      <c r="W261" s="4">
        <v>57</v>
      </c>
      <c r="X261" s="82" t="s">
        <v>18</v>
      </c>
      <c r="Y261" s="80">
        <v>38</v>
      </c>
      <c r="Z261" s="4">
        <v>57</v>
      </c>
      <c r="AA261" s="82" t="s">
        <v>18</v>
      </c>
    </row>
    <row r="262" spans="14:27" ht="13.5" thickBot="1">
      <c r="N262" s="139"/>
      <c r="S262" s="81">
        <v>2</v>
      </c>
      <c r="T262" s="8">
        <v>4</v>
      </c>
      <c r="U262" s="83">
        <v>3</v>
      </c>
      <c r="V262" s="81">
        <v>2</v>
      </c>
      <c r="W262" s="8">
        <v>5</v>
      </c>
      <c r="X262" s="83">
        <v>6</v>
      </c>
      <c r="Y262" s="81">
        <v>2</v>
      </c>
      <c r="Z262" s="8">
        <v>5</v>
      </c>
      <c r="AA262" s="83">
        <v>5</v>
      </c>
    </row>
    <row r="263" ht="12.75">
      <c r="N263" s="139"/>
    </row>
    <row r="264" ht="12.75">
      <c r="N264" s="139"/>
    </row>
    <row r="265" ht="12.75">
      <c r="N265" s="139"/>
    </row>
    <row r="266" spans="14:26" ht="38.25" customHeight="1">
      <c r="N266" s="139"/>
      <c r="S266" s="125" t="s">
        <v>160</v>
      </c>
      <c r="T266" s="147" t="s">
        <v>161</v>
      </c>
      <c r="U266" s="148"/>
      <c r="V266" s="148"/>
      <c r="W266" s="148"/>
      <c r="X266" s="148"/>
      <c r="Y266" s="148"/>
      <c r="Z266" s="149"/>
    </row>
    <row r="267" spans="14:36" ht="27.75">
      <c r="N267" s="139"/>
      <c r="S267" s="126" t="s">
        <v>162</v>
      </c>
      <c r="T267" s="127">
        <v>150</v>
      </c>
      <c r="U267" s="127">
        <v>300</v>
      </c>
      <c r="V267" s="127">
        <v>400</v>
      </c>
      <c r="W267" s="127">
        <v>600</v>
      </c>
      <c r="X267" s="127">
        <v>900</v>
      </c>
      <c r="Y267" s="127">
        <v>1500</v>
      </c>
      <c r="Z267" s="127">
        <v>2500</v>
      </c>
      <c r="AA267" s="126"/>
      <c r="AC267" t="s">
        <v>21</v>
      </c>
      <c r="AD267">
        <v>150</v>
      </c>
      <c r="AE267">
        <v>300</v>
      </c>
      <c r="AF267">
        <v>400</v>
      </c>
      <c r="AG267">
        <v>600</v>
      </c>
      <c r="AH267">
        <v>900</v>
      </c>
      <c r="AI267">
        <v>1500</v>
      </c>
      <c r="AJ267">
        <v>2500</v>
      </c>
    </row>
    <row r="268" spans="14:27" ht="12.75">
      <c r="N268" s="139"/>
      <c r="S268" s="126">
        <v>0</v>
      </c>
      <c r="T268" s="128">
        <v>1900</v>
      </c>
      <c r="U268" s="128">
        <v>4960</v>
      </c>
      <c r="V268" s="128">
        <v>6610</v>
      </c>
      <c r="W268" s="128">
        <v>9920</v>
      </c>
      <c r="X268" s="128">
        <v>14900</v>
      </c>
      <c r="Y268" s="128">
        <v>24830</v>
      </c>
      <c r="Z268" s="128">
        <v>41380</v>
      </c>
      <c r="AA268" s="126">
        <v>38</v>
      </c>
    </row>
    <row r="269" spans="14:36" ht="12.75">
      <c r="N269" s="139"/>
      <c r="S269" s="126">
        <v>38</v>
      </c>
      <c r="T269" s="128">
        <v>1900</v>
      </c>
      <c r="U269" s="128">
        <v>4960</v>
      </c>
      <c r="V269" s="128">
        <v>6610</v>
      </c>
      <c r="W269" s="128">
        <v>9920</v>
      </c>
      <c r="X269" s="128">
        <v>14900</v>
      </c>
      <c r="Y269" s="128">
        <v>24830</v>
      </c>
      <c r="Z269" s="128">
        <v>41380</v>
      </c>
      <c r="AA269" s="126">
        <v>50</v>
      </c>
      <c r="AC269" t="s">
        <v>163</v>
      </c>
      <c r="AD269">
        <f aca="true" t="shared" si="0" ref="AD269:AJ269">T</f>
        <v>86</v>
      </c>
      <c r="AE269">
        <f t="shared" si="0"/>
        <v>86</v>
      </c>
      <c r="AF269">
        <f t="shared" si="0"/>
        <v>86</v>
      </c>
      <c r="AG269">
        <f t="shared" si="0"/>
        <v>86</v>
      </c>
      <c r="AH269">
        <f t="shared" si="0"/>
        <v>86</v>
      </c>
      <c r="AI269">
        <f t="shared" si="0"/>
        <v>86</v>
      </c>
      <c r="AJ269">
        <f t="shared" si="0"/>
        <v>86</v>
      </c>
    </row>
    <row r="270" spans="14:27" ht="12.75">
      <c r="N270" s="139"/>
      <c r="S270" s="126">
        <v>50</v>
      </c>
      <c r="T270" s="128">
        <v>1830</v>
      </c>
      <c r="U270" s="128">
        <v>4940</v>
      </c>
      <c r="V270" s="128">
        <v>6560</v>
      </c>
      <c r="W270" s="128">
        <v>9850</v>
      </c>
      <c r="X270" s="128">
        <v>14840</v>
      </c>
      <c r="Y270" s="128">
        <v>24670</v>
      </c>
      <c r="Z270" s="128">
        <v>41130</v>
      </c>
      <c r="AA270" s="126">
        <v>100</v>
      </c>
    </row>
    <row r="271" spans="14:36" ht="12.75">
      <c r="N271" s="139"/>
      <c r="S271" s="126">
        <v>100</v>
      </c>
      <c r="T271" s="128">
        <v>1630</v>
      </c>
      <c r="U271" s="128">
        <v>4800</v>
      </c>
      <c r="V271" s="128">
        <v>6400</v>
      </c>
      <c r="W271" s="128">
        <v>9600</v>
      </c>
      <c r="X271" s="128">
        <v>14450</v>
      </c>
      <c r="Y271" s="128">
        <v>24020</v>
      </c>
      <c r="Z271" s="128">
        <v>40060</v>
      </c>
      <c r="AA271" s="126">
        <v>150</v>
      </c>
      <c r="AC271" t="s">
        <v>164</v>
      </c>
      <c r="AD271">
        <f aca="true" t="shared" si="1" ref="AD271:AJ271">VLOOKUP(T,RATING,1)</f>
        <v>0</v>
      </c>
      <c r="AE271">
        <f t="shared" si="1"/>
        <v>0</v>
      </c>
      <c r="AF271">
        <f t="shared" si="1"/>
        <v>0</v>
      </c>
      <c r="AG271">
        <f t="shared" si="1"/>
        <v>0</v>
      </c>
      <c r="AH271">
        <f t="shared" si="1"/>
        <v>0</v>
      </c>
      <c r="AI271">
        <f t="shared" si="1"/>
        <v>0</v>
      </c>
      <c r="AJ271">
        <f t="shared" si="1"/>
        <v>0</v>
      </c>
    </row>
    <row r="272" spans="14:36" ht="12.75">
      <c r="N272" s="139"/>
      <c r="S272" s="126">
        <v>150</v>
      </c>
      <c r="T272" s="128">
        <v>1450</v>
      </c>
      <c r="U272" s="128">
        <v>4680</v>
      </c>
      <c r="V272" s="128">
        <v>6260</v>
      </c>
      <c r="W272" s="128">
        <v>9400</v>
      </c>
      <c r="X272" s="128">
        <v>14130</v>
      </c>
      <c r="Y272" s="128">
        <v>23500</v>
      </c>
      <c r="Z272" s="128">
        <v>39200</v>
      </c>
      <c r="AA272" s="126">
        <v>200</v>
      </c>
      <c r="AC272" t="s">
        <v>165</v>
      </c>
      <c r="AD272">
        <f>VLOOKUP(T,RATING,2)</f>
        <v>285</v>
      </c>
      <c r="AE272">
        <f>VLOOKUP(T,RATING,3)</f>
        <v>740</v>
      </c>
      <c r="AF272">
        <f>VLOOKUP(T,RATING,4)</f>
        <v>990</v>
      </c>
      <c r="AG272">
        <f>VLOOKUP(T,RATING,5)</f>
        <v>1480</v>
      </c>
      <c r="AH272">
        <f>VLOOKUP(T,RATING,6)</f>
        <v>2220</v>
      </c>
      <c r="AI272">
        <f>VLOOKUP(T,RATING,7)</f>
        <v>3705</v>
      </c>
      <c r="AJ272">
        <f>VLOOKUP(T,RATING,8)</f>
        <v>6170</v>
      </c>
    </row>
    <row r="273" spans="14:27" ht="12.75">
      <c r="N273" s="139"/>
      <c r="S273" s="126">
        <v>200</v>
      </c>
      <c r="T273" s="128">
        <v>1260</v>
      </c>
      <c r="U273" s="128">
        <v>4600</v>
      </c>
      <c r="V273" s="128">
        <v>6150</v>
      </c>
      <c r="W273" s="128">
        <v>9190</v>
      </c>
      <c r="X273" s="128">
        <v>13850</v>
      </c>
      <c r="Y273" s="128">
        <v>23060</v>
      </c>
      <c r="Z273" s="128">
        <v>38380</v>
      </c>
      <c r="AA273" s="126">
        <v>250</v>
      </c>
    </row>
    <row r="274" spans="14:36" ht="12.75">
      <c r="N274" s="139"/>
      <c r="S274" s="126">
        <v>250</v>
      </c>
      <c r="T274" s="128">
        <v>1070</v>
      </c>
      <c r="U274" s="128">
        <v>4370</v>
      </c>
      <c r="V274" s="128">
        <v>5850</v>
      </c>
      <c r="W274" s="128">
        <v>8780</v>
      </c>
      <c r="X274" s="128">
        <v>13170</v>
      </c>
      <c r="Y274" s="128">
        <v>21920</v>
      </c>
      <c r="Z274" s="128">
        <v>36600</v>
      </c>
      <c r="AA274" s="126">
        <v>300</v>
      </c>
      <c r="AC274" t="s">
        <v>166</v>
      </c>
      <c r="AD274">
        <f aca="true" t="shared" si="2" ref="AD274:AJ274">VLOOKUP(T,RATING,9)</f>
        <v>100</v>
      </c>
      <c r="AE274">
        <f t="shared" si="2"/>
        <v>100</v>
      </c>
      <c r="AF274">
        <f t="shared" si="2"/>
        <v>100</v>
      </c>
      <c r="AG274">
        <f t="shared" si="2"/>
        <v>100</v>
      </c>
      <c r="AH274">
        <f t="shared" si="2"/>
        <v>100</v>
      </c>
      <c r="AI274">
        <f t="shared" si="2"/>
        <v>100</v>
      </c>
      <c r="AJ274">
        <f t="shared" si="2"/>
        <v>100</v>
      </c>
    </row>
    <row r="275" spans="14:36" ht="12.75">
      <c r="N275" s="139"/>
      <c r="S275" s="126">
        <v>300</v>
      </c>
      <c r="T275" s="128">
        <v>940</v>
      </c>
      <c r="U275" s="128">
        <v>3960</v>
      </c>
      <c r="V275" s="128">
        <v>5300</v>
      </c>
      <c r="W275" s="128">
        <v>7900</v>
      </c>
      <c r="X275" s="128">
        <v>11900</v>
      </c>
      <c r="Y275" s="128">
        <v>19810</v>
      </c>
      <c r="Z275" s="128">
        <v>33060</v>
      </c>
      <c r="AA275" s="126">
        <v>350</v>
      </c>
      <c r="AC275" t="s">
        <v>167</v>
      </c>
      <c r="AD275">
        <f>VLOOKUP(AD274,RATING,2)</f>
        <v>285</v>
      </c>
      <c r="AE275">
        <f>VLOOKUP(AE274,RATING,3)</f>
        <v>740</v>
      </c>
      <c r="AF275">
        <f>VLOOKUP(AF274,RATING,4)</f>
        <v>990</v>
      </c>
      <c r="AG275">
        <f>VLOOKUP(AG274,RATING,5)</f>
        <v>1480</v>
      </c>
      <c r="AH275">
        <f>VLOOKUP(AH274,RATING,6)</f>
        <v>2220</v>
      </c>
      <c r="AI275">
        <f>VLOOKUP(AI274,RATING,7)</f>
        <v>3705</v>
      </c>
      <c r="AJ275">
        <f>VLOOKUP(AJ274,RATING,8)</f>
        <v>6170</v>
      </c>
    </row>
    <row r="276" spans="14:27" ht="12.75">
      <c r="N276" s="139"/>
      <c r="S276" s="126">
        <v>350</v>
      </c>
      <c r="T276" s="128">
        <v>810</v>
      </c>
      <c r="U276" s="128">
        <v>3480</v>
      </c>
      <c r="V276" s="128">
        <v>4670</v>
      </c>
      <c r="W276" s="128">
        <v>6930</v>
      </c>
      <c r="X276" s="128">
        <v>10490</v>
      </c>
      <c r="Y276" s="128">
        <v>17440</v>
      </c>
      <c r="Z276" s="128">
        <v>29000</v>
      </c>
      <c r="AA276" s="126">
        <v>375</v>
      </c>
    </row>
    <row r="277" spans="14:36" ht="12.75">
      <c r="N277" s="139"/>
      <c r="S277" s="126">
        <v>375</v>
      </c>
      <c r="T277" s="128">
        <v>750</v>
      </c>
      <c r="U277" s="128">
        <v>3210</v>
      </c>
      <c r="V277" s="128">
        <v>4340</v>
      </c>
      <c r="W277" s="128">
        <v>6380</v>
      </c>
      <c r="X277" s="128">
        <v>9660</v>
      </c>
      <c r="Y277" s="128">
        <v>15800</v>
      </c>
      <c r="Z277" s="128">
        <v>26770</v>
      </c>
      <c r="AA277" s="126">
        <v>400</v>
      </c>
      <c r="AC277" t="s">
        <v>168</v>
      </c>
      <c r="AD277">
        <f aca="true" t="shared" si="3" ref="AD277:AJ277">AD269-AD271</f>
        <v>86</v>
      </c>
      <c r="AE277">
        <f t="shared" si="3"/>
        <v>86</v>
      </c>
      <c r="AF277">
        <f t="shared" si="3"/>
        <v>86</v>
      </c>
      <c r="AG277">
        <f t="shared" si="3"/>
        <v>86</v>
      </c>
      <c r="AH277">
        <f t="shared" si="3"/>
        <v>86</v>
      </c>
      <c r="AI277">
        <f t="shared" si="3"/>
        <v>86</v>
      </c>
      <c r="AJ277">
        <f t="shared" si="3"/>
        <v>86</v>
      </c>
    </row>
    <row r="278" spans="14:36" ht="12.75">
      <c r="N278" s="139"/>
      <c r="S278" s="126">
        <v>400</v>
      </c>
      <c r="T278" s="128">
        <v>690</v>
      </c>
      <c r="U278" s="128">
        <v>2910</v>
      </c>
      <c r="V278" s="128">
        <v>3940</v>
      </c>
      <c r="W278" s="128">
        <v>5820</v>
      </c>
      <c r="X278" s="128">
        <v>8780</v>
      </c>
      <c r="Y278" s="128">
        <v>14580</v>
      </c>
      <c r="Z278" s="128">
        <v>24360</v>
      </c>
      <c r="AA278" s="126">
        <v>425</v>
      </c>
      <c r="AC278" t="s">
        <v>169</v>
      </c>
      <c r="AD278">
        <f aca="true" t="shared" si="4" ref="AD278:AJ278">AD274-AD269</f>
        <v>14</v>
      </c>
      <c r="AE278">
        <f t="shared" si="4"/>
        <v>14</v>
      </c>
      <c r="AF278">
        <f t="shared" si="4"/>
        <v>14</v>
      </c>
      <c r="AG278">
        <f t="shared" si="4"/>
        <v>14</v>
      </c>
      <c r="AH278">
        <f t="shared" si="4"/>
        <v>14</v>
      </c>
      <c r="AI278">
        <f t="shared" si="4"/>
        <v>14</v>
      </c>
      <c r="AJ278">
        <f t="shared" si="4"/>
        <v>14</v>
      </c>
    </row>
    <row r="279" spans="14:27" ht="12.75">
      <c r="N279" s="139"/>
      <c r="S279" s="126">
        <v>425</v>
      </c>
      <c r="T279" s="128">
        <v>640</v>
      </c>
      <c r="U279" s="128">
        <v>2550</v>
      </c>
      <c r="V279" s="128">
        <v>3440</v>
      </c>
      <c r="W279" s="128">
        <v>5100</v>
      </c>
      <c r="X279" s="128">
        <v>7730</v>
      </c>
      <c r="Y279" s="128">
        <v>12820</v>
      </c>
      <c r="Z279" s="128">
        <v>21250</v>
      </c>
      <c r="AA279" s="126">
        <v>450</v>
      </c>
    </row>
    <row r="280" spans="14:36" ht="12.75">
      <c r="N280" s="139"/>
      <c r="S280" s="126">
        <v>450</v>
      </c>
      <c r="T280" s="128">
        <v>580</v>
      </c>
      <c r="U280" s="128">
        <v>2140</v>
      </c>
      <c r="V280" s="128">
        <v>2880</v>
      </c>
      <c r="W280" s="128">
        <v>4270</v>
      </c>
      <c r="X280" s="128">
        <v>6460</v>
      </c>
      <c r="Y280" s="128">
        <v>10760</v>
      </c>
      <c r="Z280" s="128">
        <v>17820</v>
      </c>
      <c r="AA280" s="126">
        <v>475</v>
      </c>
      <c r="AC280" t="s">
        <v>170</v>
      </c>
      <c r="AD280">
        <f aca="true" t="shared" si="5" ref="AD280:AJ280">AD277+AD278</f>
        <v>100</v>
      </c>
      <c r="AE280">
        <f t="shared" si="5"/>
        <v>100</v>
      </c>
      <c r="AF280">
        <f t="shared" si="5"/>
        <v>100</v>
      </c>
      <c r="AG280">
        <f t="shared" si="5"/>
        <v>100</v>
      </c>
      <c r="AH280">
        <f t="shared" si="5"/>
        <v>100</v>
      </c>
      <c r="AI280">
        <f t="shared" si="5"/>
        <v>100</v>
      </c>
      <c r="AJ280">
        <f t="shared" si="5"/>
        <v>100</v>
      </c>
    </row>
    <row r="281" spans="14:36" ht="12.75">
      <c r="N281" s="139"/>
      <c r="S281" s="126">
        <v>475</v>
      </c>
      <c r="T281" s="128">
        <v>510</v>
      </c>
      <c r="U281" s="128">
        <v>1680</v>
      </c>
      <c r="V281" s="128">
        <v>2240</v>
      </c>
      <c r="W281" s="128">
        <v>3340</v>
      </c>
      <c r="X281" s="128">
        <v>5070</v>
      </c>
      <c r="Y281" s="128">
        <v>8420</v>
      </c>
      <c r="Z281" s="128">
        <v>14030</v>
      </c>
      <c r="AA281" s="126">
        <v>500</v>
      </c>
      <c r="AC281" t="s">
        <v>171</v>
      </c>
      <c r="AD281">
        <f aca="true" t="shared" si="6" ref="AD281:AJ281">AD275+((AD272-AD275)*AD277)/AD280</f>
        <v>285</v>
      </c>
      <c r="AE281">
        <f t="shared" si="6"/>
        <v>740</v>
      </c>
      <c r="AF281">
        <f t="shared" si="6"/>
        <v>990</v>
      </c>
      <c r="AG281">
        <f t="shared" si="6"/>
        <v>1480</v>
      </c>
      <c r="AH281">
        <f t="shared" si="6"/>
        <v>2220</v>
      </c>
      <c r="AI281">
        <f t="shared" si="6"/>
        <v>3705</v>
      </c>
      <c r="AJ281">
        <f t="shared" si="6"/>
        <v>6170</v>
      </c>
    </row>
    <row r="282" spans="14:27" ht="12.75">
      <c r="N282" s="139"/>
      <c r="S282" s="126">
        <v>500</v>
      </c>
      <c r="T282" s="128">
        <v>400</v>
      </c>
      <c r="U282" s="128">
        <v>1240</v>
      </c>
      <c r="V282" s="128">
        <v>1620</v>
      </c>
      <c r="W282" s="128">
        <v>2460</v>
      </c>
      <c r="X282" s="128">
        <v>3720</v>
      </c>
      <c r="Y282" s="128">
        <v>6170</v>
      </c>
      <c r="Z282" s="128">
        <v>10330</v>
      </c>
      <c r="AA282" s="126">
        <v>525</v>
      </c>
    </row>
    <row r="283" spans="14:27" ht="12.75">
      <c r="N283" s="139"/>
      <c r="S283" s="126">
        <v>525</v>
      </c>
      <c r="T283" s="128">
        <v>340</v>
      </c>
      <c r="U283" s="128">
        <v>810</v>
      </c>
      <c r="V283" s="128">
        <v>1080</v>
      </c>
      <c r="W283" s="128">
        <v>1600</v>
      </c>
      <c r="X283" s="128">
        <v>2410</v>
      </c>
      <c r="Y283" s="128">
        <v>4030</v>
      </c>
      <c r="Z283" s="128">
        <v>6720</v>
      </c>
      <c r="AA283" s="126">
        <v>538</v>
      </c>
    </row>
    <row r="284" spans="14:27" ht="12.75">
      <c r="N284" s="139"/>
      <c r="S284" s="126">
        <v>538</v>
      </c>
      <c r="T284" s="128">
        <v>260</v>
      </c>
      <c r="U284" s="128">
        <v>550</v>
      </c>
      <c r="V284" s="128">
        <v>760</v>
      </c>
      <c r="W284" s="128">
        <v>1100</v>
      </c>
      <c r="X284" s="128">
        <v>1650</v>
      </c>
      <c r="Y284" s="128">
        <v>2820</v>
      </c>
      <c r="Z284" s="128">
        <v>4590</v>
      </c>
      <c r="AA284" s="129">
        <v>550</v>
      </c>
    </row>
    <row r="285" ht="12.75">
      <c r="N285" s="139"/>
    </row>
    <row r="286" ht="12.75">
      <c r="N286" s="139"/>
    </row>
    <row r="287" spans="14:26" ht="15.75" customHeight="1">
      <c r="N287" s="139"/>
      <c r="S287" s="131"/>
      <c r="T287" s="144" t="s">
        <v>175</v>
      </c>
      <c r="U287" s="145"/>
      <c r="V287" s="145"/>
      <c r="W287" s="145"/>
      <c r="X287" s="145"/>
      <c r="Y287" s="145"/>
      <c r="Z287" s="146"/>
    </row>
    <row r="288" spans="14:27" ht="25.5">
      <c r="N288" s="139"/>
      <c r="S288" s="132" t="s">
        <v>176</v>
      </c>
      <c r="T288" s="133">
        <v>150</v>
      </c>
      <c r="U288" s="133">
        <v>300</v>
      </c>
      <c r="V288" s="133">
        <v>400</v>
      </c>
      <c r="W288" s="133">
        <v>600</v>
      </c>
      <c r="X288" s="133">
        <v>900</v>
      </c>
      <c r="Y288" s="133">
        <v>1500</v>
      </c>
      <c r="Z288" s="133">
        <v>2500</v>
      </c>
      <c r="AA288" s="132"/>
    </row>
    <row r="289" spans="14:27" ht="12.75">
      <c r="N289" s="139"/>
      <c r="S289" s="132">
        <v>0</v>
      </c>
      <c r="T289" s="134">
        <v>285</v>
      </c>
      <c r="U289" s="134">
        <v>740</v>
      </c>
      <c r="V289" s="134">
        <v>990</v>
      </c>
      <c r="W289" s="134">
        <v>1480</v>
      </c>
      <c r="X289" s="134">
        <v>2220</v>
      </c>
      <c r="Y289" s="134">
        <v>3705</v>
      </c>
      <c r="Z289" s="134">
        <v>6170</v>
      </c>
      <c r="AA289" s="132">
        <v>100</v>
      </c>
    </row>
    <row r="290" spans="14:27" ht="12.75">
      <c r="N290" s="139"/>
      <c r="S290" s="132">
        <v>100</v>
      </c>
      <c r="T290" s="134">
        <v>285</v>
      </c>
      <c r="U290" s="134">
        <v>740</v>
      </c>
      <c r="V290" s="134">
        <v>990</v>
      </c>
      <c r="W290" s="134">
        <v>1480</v>
      </c>
      <c r="X290" s="134">
        <v>2220</v>
      </c>
      <c r="Y290" s="134">
        <v>3705</v>
      </c>
      <c r="Z290" s="134">
        <v>6170</v>
      </c>
      <c r="AA290" s="132">
        <v>200</v>
      </c>
    </row>
    <row r="291" spans="14:27" ht="12.75">
      <c r="N291" s="139"/>
      <c r="S291" s="132">
        <v>200</v>
      </c>
      <c r="T291" s="134">
        <v>260</v>
      </c>
      <c r="U291" s="134">
        <v>675</v>
      </c>
      <c r="V291" s="134">
        <v>900</v>
      </c>
      <c r="W291" s="134">
        <v>1350</v>
      </c>
      <c r="X291" s="134">
        <v>2025</v>
      </c>
      <c r="Y291" s="134">
        <v>3375</v>
      </c>
      <c r="Z291" s="134">
        <v>5625</v>
      </c>
      <c r="AA291" s="132">
        <v>300</v>
      </c>
    </row>
    <row r="292" spans="14:27" ht="12.75">
      <c r="N292" s="139"/>
      <c r="S292" s="132">
        <v>300</v>
      </c>
      <c r="T292" s="134">
        <v>230</v>
      </c>
      <c r="U292" s="134">
        <v>655</v>
      </c>
      <c r="V292" s="134">
        <v>875</v>
      </c>
      <c r="W292" s="134">
        <v>1315</v>
      </c>
      <c r="X292" s="134">
        <v>1970</v>
      </c>
      <c r="Y292" s="134">
        <v>3280</v>
      </c>
      <c r="Z292" s="134">
        <v>5470</v>
      </c>
      <c r="AA292" s="132">
        <v>400</v>
      </c>
    </row>
    <row r="293" spans="14:27" ht="12.75">
      <c r="N293" s="139"/>
      <c r="S293" s="132">
        <v>400</v>
      </c>
      <c r="T293" s="134">
        <v>200</v>
      </c>
      <c r="U293" s="134">
        <v>635</v>
      </c>
      <c r="V293" s="134">
        <v>845</v>
      </c>
      <c r="W293" s="134">
        <v>1270</v>
      </c>
      <c r="X293" s="134">
        <v>1900</v>
      </c>
      <c r="Y293" s="134">
        <v>3170</v>
      </c>
      <c r="Z293" s="134">
        <v>5280</v>
      </c>
      <c r="AA293" s="132">
        <v>500</v>
      </c>
    </row>
    <row r="294" spans="14:27" ht="12.75">
      <c r="N294" s="139"/>
      <c r="S294" s="132">
        <v>500</v>
      </c>
      <c r="T294" s="134">
        <v>170</v>
      </c>
      <c r="U294" s="134">
        <v>600</v>
      </c>
      <c r="V294" s="134">
        <v>800</v>
      </c>
      <c r="W294" s="134">
        <v>1200</v>
      </c>
      <c r="X294" s="134">
        <v>1795</v>
      </c>
      <c r="Y294" s="134">
        <v>2995</v>
      </c>
      <c r="Z294" s="134">
        <v>4990</v>
      </c>
      <c r="AA294" s="132">
        <v>600</v>
      </c>
    </row>
    <row r="295" spans="14:27" ht="12.75">
      <c r="N295" s="139"/>
      <c r="S295" s="132">
        <v>600</v>
      </c>
      <c r="T295" s="134">
        <v>140</v>
      </c>
      <c r="U295" s="134">
        <v>550</v>
      </c>
      <c r="V295" s="134">
        <v>730</v>
      </c>
      <c r="W295" s="134">
        <v>1095</v>
      </c>
      <c r="X295" s="134">
        <v>1640</v>
      </c>
      <c r="Y295" s="134">
        <v>2735</v>
      </c>
      <c r="Z295" s="134">
        <v>4560</v>
      </c>
      <c r="AA295" s="132">
        <v>650</v>
      </c>
    </row>
    <row r="296" spans="14:27" ht="12.75">
      <c r="N296" s="139"/>
      <c r="S296" s="132">
        <v>650</v>
      </c>
      <c r="T296" s="134">
        <v>125</v>
      </c>
      <c r="U296" s="134">
        <v>535</v>
      </c>
      <c r="V296" s="134">
        <v>715</v>
      </c>
      <c r="W296" s="134">
        <v>1075</v>
      </c>
      <c r="X296" s="134">
        <v>1610</v>
      </c>
      <c r="Y296" s="134">
        <v>2685</v>
      </c>
      <c r="Z296" s="134">
        <v>4475</v>
      </c>
      <c r="AA296" s="132">
        <v>700</v>
      </c>
    </row>
    <row r="297" spans="14:27" ht="12.75">
      <c r="N297" s="139"/>
      <c r="S297" s="132">
        <v>700</v>
      </c>
      <c r="T297" s="134">
        <v>110</v>
      </c>
      <c r="U297" s="134">
        <v>535</v>
      </c>
      <c r="V297" s="134">
        <v>710</v>
      </c>
      <c r="W297" s="134">
        <v>1065</v>
      </c>
      <c r="X297" s="134">
        <v>1600</v>
      </c>
      <c r="Y297" s="134">
        <v>2665</v>
      </c>
      <c r="Z297" s="134">
        <v>4440</v>
      </c>
      <c r="AA297" s="132">
        <v>750</v>
      </c>
    </row>
    <row r="298" spans="14:27" ht="12.75">
      <c r="N298" s="139"/>
      <c r="S298" s="132">
        <v>750</v>
      </c>
      <c r="T298" s="134">
        <v>95</v>
      </c>
      <c r="U298" s="134">
        <v>505</v>
      </c>
      <c r="V298" s="134">
        <v>670</v>
      </c>
      <c r="W298" s="134">
        <v>1010</v>
      </c>
      <c r="X298" s="134">
        <v>1510</v>
      </c>
      <c r="Y298" s="134">
        <v>2520</v>
      </c>
      <c r="Z298" s="134">
        <v>4200</v>
      </c>
      <c r="AA298" s="132">
        <v>800</v>
      </c>
    </row>
    <row r="299" spans="14:27" ht="12.75">
      <c r="N299" s="139"/>
      <c r="S299" s="132">
        <v>800</v>
      </c>
      <c r="T299" s="134">
        <v>80</v>
      </c>
      <c r="U299" s="134">
        <v>410</v>
      </c>
      <c r="V299" s="134">
        <v>550</v>
      </c>
      <c r="W299" s="134">
        <v>825</v>
      </c>
      <c r="X299" s="134">
        <v>1235</v>
      </c>
      <c r="Y299" s="134">
        <v>2060</v>
      </c>
      <c r="Z299" s="134">
        <v>3430</v>
      </c>
      <c r="AA299" s="132">
        <v>850</v>
      </c>
    </row>
    <row r="300" spans="14:27" ht="12.75">
      <c r="N300" s="139"/>
      <c r="S300" s="132">
        <v>850</v>
      </c>
      <c r="T300" s="134">
        <v>65</v>
      </c>
      <c r="U300" s="134">
        <v>270</v>
      </c>
      <c r="V300" s="134">
        <v>355</v>
      </c>
      <c r="W300" s="134">
        <v>535</v>
      </c>
      <c r="X300" s="134">
        <v>805</v>
      </c>
      <c r="Y300" s="134">
        <v>1340</v>
      </c>
      <c r="Z300" s="134">
        <v>2230</v>
      </c>
      <c r="AA300" s="132">
        <v>900</v>
      </c>
    </row>
    <row r="301" spans="14:27" ht="12.75">
      <c r="N301" s="139"/>
      <c r="S301" s="132">
        <v>900</v>
      </c>
      <c r="T301" s="134">
        <v>50</v>
      </c>
      <c r="U301" s="134">
        <v>170</v>
      </c>
      <c r="V301" s="134">
        <v>230</v>
      </c>
      <c r="W301" s="134">
        <v>345</v>
      </c>
      <c r="X301" s="134">
        <v>515</v>
      </c>
      <c r="Y301" s="134">
        <v>860</v>
      </c>
      <c r="Z301" s="134">
        <v>1430</v>
      </c>
      <c r="AA301" s="132">
        <v>950</v>
      </c>
    </row>
    <row r="302" spans="14:27" ht="12.75">
      <c r="N302" s="139"/>
      <c r="S302" s="132">
        <v>950</v>
      </c>
      <c r="T302" s="134">
        <v>35</v>
      </c>
      <c r="U302" s="134">
        <v>105</v>
      </c>
      <c r="V302" s="134">
        <v>140</v>
      </c>
      <c r="W302" s="134">
        <v>205</v>
      </c>
      <c r="X302" s="134">
        <v>310</v>
      </c>
      <c r="Y302" s="134">
        <v>515</v>
      </c>
      <c r="Z302" s="134">
        <v>860</v>
      </c>
      <c r="AA302" s="132">
        <v>1000</v>
      </c>
    </row>
    <row r="303" spans="14:27" ht="12.75">
      <c r="N303" s="139"/>
      <c r="S303" s="132">
        <v>1000</v>
      </c>
      <c r="T303" s="134">
        <v>20</v>
      </c>
      <c r="U303" s="134">
        <v>50</v>
      </c>
      <c r="V303" s="134">
        <v>70</v>
      </c>
      <c r="W303" s="134">
        <v>105</v>
      </c>
      <c r="X303" s="134">
        <v>155</v>
      </c>
      <c r="Y303" s="134">
        <v>260</v>
      </c>
      <c r="Z303" s="134">
        <v>430</v>
      </c>
      <c r="AA303" s="132">
        <v>1050</v>
      </c>
    </row>
    <row r="304" ht="12.75">
      <c r="N304" s="139"/>
    </row>
    <row r="306" ht="13.5" thickBot="1"/>
    <row r="307" spans="16:37" ht="12.75">
      <c r="P307" s="197">
        <v>8</v>
      </c>
      <c r="Q307" s="53" t="s">
        <v>182</v>
      </c>
      <c r="R307" s="53" t="s">
        <v>183</v>
      </c>
      <c r="S307" s="53" t="s">
        <v>0</v>
      </c>
      <c r="T307" s="54" t="s">
        <v>1</v>
      </c>
      <c r="U307" s="54">
        <v>1</v>
      </c>
      <c r="V307" s="54" t="s">
        <v>2</v>
      </c>
      <c r="W307" s="54" t="s">
        <v>3</v>
      </c>
      <c r="X307" s="54" t="s">
        <v>4</v>
      </c>
      <c r="Y307" s="54" t="s">
        <v>5</v>
      </c>
      <c r="Z307" s="54" t="s">
        <v>6</v>
      </c>
      <c r="AA307" s="54" t="s">
        <v>7</v>
      </c>
      <c r="AB307" s="54" t="s">
        <v>8</v>
      </c>
      <c r="AC307" s="54" t="s">
        <v>9</v>
      </c>
      <c r="AD307" s="54" t="s">
        <v>10</v>
      </c>
      <c r="AE307" s="54" t="s">
        <v>11</v>
      </c>
      <c r="AF307" s="54" t="s">
        <v>12</v>
      </c>
      <c r="AG307" s="54" t="s">
        <v>13</v>
      </c>
      <c r="AH307" s="54" t="s">
        <v>14</v>
      </c>
      <c r="AI307" s="54" t="s">
        <v>15</v>
      </c>
      <c r="AJ307" s="54" t="s">
        <v>16</v>
      </c>
      <c r="AK307" s="55" t="s">
        <v>17</v>
      </c>
    </row>
    <row r="308" spans="15:37" ht="12.75">
      <c r="O308" s="3" t="s">
        <v>143</v>
      </c>
      <c r="P308" s="69">
        <f>INDEX(DIST1,1,D)</f>
        <v>150</v>
      </c>
      <c r="Q308" s="107" t="s">
        <v>18</v>
      </c>
      <c r="R308" s="107" t="s">
        <v>18</v>
      </c>
      <c r="S308" s="193">
        <v>150</v>
      </c>
      <c r="T308" s="193">
        <v>180</v>
      </c>
      <c r="U308" s="193">
        <v>200</v>
      </c>
      <c r="V308" s="193">
        <v>200</v>
      </c>
      <c r="W308" s="193">
        <v>200</v>
      </c>
      <c r="X308" s="193">
        <v>200</v>
      </c>
      <c r="Y308" s="193">
        <v>200</v>
      </c>
      <c r="Z308" s="193">
        <v>200</v>
      </c>
      <c r="AA308" s="193">
        <v>250</v>
      </c>
      <c r="AB308" s="193">
        <v>250</v>
      </c>
      <c r="AC308" s="193">
        <v>250</v>
      </c>
      <c r="AD308" s="193">
        <v>300</v>
      </c>
      <c r="AE308" s="193">
        <v>350</v>
      </c>
      <c r="AF308" s="193">
        <v>350</v>
      </c>
      <c r="AG308" s="193">
        <v>400</v>
      </c>
      <c r="AH308" s="193">
        <v>450</v>
      </c>
      <c r="AI308" s="193">
        <v>450</v>
      </c>
      <c r="AJ308" s="193">
        <v>500</v>
      </c>
      <c r="AK308" s="193">
        <v>500</v>
      </c>
    </row>
    <row r="309" spans="15:37" ht="12.75">
      <c r="O309" s="3" t="s">
        <v>140</v>
      </c>
      <c r="P309" s="69">
        <f>INDEX(DIST1,2,D)</f>
        <v>150</v>
      </c>
      <c r="Q309" s="107" t="s">
        <v>18</v>
      </c>
      <c r="R309" s="107" t="s">
        <v>18</v>
      </c>
      <c r="S309" s="193">
        <v>150</v>
      </c>
      <c r="T309" s="193">
        <v>180</v>
      </c>
      <c r="U309" s="193">
        <v>200</v>
      </c>
      <c r="V309" s="193">
        <v>200</v>
      </c>
      <c r="W309" s="193">
        <v>200</v>
      </c>
      <c r="X309" s="193">
        <v>200</v>
      </c>
      <c r="Y309" s="193">
        <v>230</v>
      </c>
      <c r="Z309" s="193">
        <v>230</v>
      </c>
      <c r="AA309" s="193">
        <v>250</v>
      </c>
      <c r="AB309" s="193">
        <v>250</v>
      </c>
      <c r="AC309" s="193">
        <v>250</v>
      </c>
      <c r="AD309" s="193">
        <v>300</v>
      </c>
      <c r="AE309" s="193">
        <v>350</v>
      </c>
      <c r="AF309" s="193">
        <v>400</v>
      </c>
      <c r="AG309" s="193">
        <v>400</v>
      </c>
      <c r="AH309" s="193">
        <v>450</v>
      </c>
      <c r="AI309" s="193">
        <v>450</v>
      </c>
      <c r="AJ309" s="193">
        <v>500</v>
      </c>
      <c r="AK309" s="193">
        <v>550</v>
      </c>
    </row>
    <row r="310" spans="15:37" ht="12.75">
      <c r="O310" s="3" t="s">
        <v>144</v>
      </c>
      <c r="P310" s="69">
        <f>INDEX(DIST1,3,D)</f>
        <v>150</v>
      </c>
      <c r="Q310" s="107" t="s">
        <v>18</v>
      </c>
      <c r="R310" s="107" t="s">
        <v>18</v>
      </c>
      <c r="S310" s="193">
        <v>150</v>
      </c>
      <c r="T310" s="193">
        <v>180</v>
      </c>
      <c r="U310" s="193">
        <v>200</v>
      </c>
      <c r="V310" s="193">
        <v>200</v>
      </c>
      <c r="W310" s="193">
        <v>200</v>
      </c>
      <c r="X310" s="193">
        <v>230</v>
      </c>
      <c r="Y310" s="193">
        <v>230</v>
      </c>
      <c r="Z310" s="193">
        <v>230</v>
      </c>
      <c r="AA310" s="193">
        <v>250</v>
      </c>
      <c r="AB310" s="193">
        <v>280</v>
      </c>
      <c r="AC310" s="193">
        <v>280</v>
      </c>
      <c r="AD310" s="193">
        <v>320</v>
      </c>
      <c r="AE310" s="193">
        <v>350</v>
      </c>
      <c r="AF310" s="193">
        <v>400</v>
      </c>
      <c r="AG310" s="193">
        <v>430</v>
      </c>
      <c r="AH310" s="193">
        <v>450</v>
      </c>
      <c r="AI310" s="193">
        <v>480</v>
      </c>
      <c r="AJ310" s="193">
        <v>530</v>
      </c>
      <c r="AK310" s="193">
        <v>580</v>
      </c>
    </row>
    <row r="311" spans="15:37" ht="12.75">
      <c r="O311" s="3" t="s">
        <v>145</v>
      </c>
      <c r="P311" s="69">
        <f>INDEX(DIST1,4,D)</f>
        <v>150</v>
      </c>
      <c r="Q311" s="107" t="s">
        <v>18</v>
      </c>
      <c r="R311" s="107" t="s">
        <v>18</v>
      </c>
      <c r="S311" s="193">
        <v>150</v>
      </c>
      <c r="T311" s="193">
        <v>180</v>
      </c>
      <c r="U311" s="193">
        <v>200</v>
      </c>
      <c r="V311" s="193">
        <v>200</v>
      </c>
      <c r="W311" s="193">
        <v>200</v>
      </c>
      <c r="X311" s="193">
        <v>230</v>
      </c>
      <c r="Y311" s="193">
        <v>230</v>
      </c>
      <c r="Z311" s="193">
        <v>230</v>
      </c>
      <c r="AA311" s="193">
        <v>280</v>
      </c>
      <c r="AB311" s="193">
        <v>300</v>
      </c>
      <c r="AC311" s="193">
        <v>300</v>
      </c>
      <c r="AD311" s="193">
        <v>350</v>
      </c>
      <c r="AE311" s="193">
        <v>350</v>
      </c>
      <c r="AF311" s="193">
        <v>400</v>
      </c>
      <c r="AG311" s="193">
        <v>450</v>
      </c>
      <c r="AH311" s="193">
        <v>450</v>
      </c>
      <c r="AI311" s="193">
        <v>500</v>
      </c>
      <c r="AJ311" s="193">
        <v>530</v>
      </c>
      <c r="AK311" s="193">
        <v>600</v>
      </c>
    </row>
    <row r="312" spans="15:37" ht="12.75">
      <c r="O312" s="3" t="s">
        <v>146</v>
      </c>
      <c r="P312" s="69">
        <f>INDEX(DIST1,5,D)</f>
        <v>200</v>
      </c>
      <c r="Q312" s="107" t="s">
        <v>18</v>
      </c>
      <c r="R312" s="107" t="s">
        <v>18</v>
      </c>
      <c r="S312" s="193">
        <v>200</v>
      </c>
      <c r="T312" s="193">
        <v>230</v>
      </c>
      <c r="U312" s="193">
        <v>250</v>
      </c>
      <c r="V312" s="193">
        <v>250</v>
      </c>
      <c r="W312" s="193">
        <v>250</v>
      </c>
      <c r="X312" s="193">
        <v>250</v>
      </c>
      <c r="Y312" s="193">
        <v>250</v>
      </c>
      <c r="Z312" s="193">
        <v>280</v>
      </c>
      <c r="AA312" s="193">
        <v>280</v>
      </c>
      <c r="AB312" s="193">
        <v>300</v>
      </c>
      <c r="AC312" s="193">
        <v>300</v>
      </c>
      <c r="AD312" s="193">
        <v>350</v>
      </c>
      <c r="AE312" s="193">
        <v>400</v>
      </c>
      <c r="AF312" s="193">
        <v>400</v>
      </c>
      <c r="AG312" s="193">
        <v>450</v>
      </c>
      <c r="AH312" s="193">
        <v>450</v>
      </c>
      <c r="AI312" s="193">
        <v>500</v>
      </c>
      <c r="AJ312" s="193">
        <v>550</v>
      </c>
      <c r="AK312" s="193">
        <v>600</v>
      </c>
    </row>
    <row r="313" spans="15:37" ht="12.75">
      <c r="O313" s="3" t="s">
        <v>187</v>
      </c>
      <c r="P313" s="69">
        <f>INDEX(DIST1,6,D)</f>
        <v>200</v>
      </c>
      <c r="Q313" s="107" t="s">
        <v>18</v>
      </c>
      <c r="R313" s="107" t="s">
        <v>18</v>
      </c>
      <c r="S313" s="193">
        <v>200</v>
      </c>
      <c r="T313" s="193">
        <v>230</v>
      </c>
      <c r="U313" s="193">
        <v>250</v>
      </c>
      <c r="V313" s="193">
        <v>250</v>
      </c>
      <c r="W313" s="193">
        <v>250</v>
      </c>
      <c r="X313" s="193">
        <v>250</v>
      </c>
      <c r="Y313" s="193">
        <v>280</v>
      </c>
      <c r="Z313" s="193">
        <v>300</v>
      </c>
      <c r="AA313" s="193">
        <v>300</v>
      </c>
      <c r="AB313" s="193">
        <v>300</v>
      </c>
      <c r="AC313" s="193">
        <v>300</v>
      </c>
      <c r="AD313" s="193">
        <v>350</v>
      </c>
      <c r="AE313" s="193">
        <v>400</v>
      </c>
      <c r="AF313" s="193">
        <v>430</v>
      </c>
      <c r="AG313" s="193">
        <v>450</v>
      </c>
      <c r="AH313" s="193">
        <v>480</v>
      </c>
      <c r="AI313" s="193">
        <v>530</v>
      </c>
      <c r="AJ313" s="193">
        <v>580</v>
      </c>
      <c r="AK313" s="193">
        <v>630</v>
      </c>
    </row>
    <row r="314" spans="15:37" ht="12.75">
      <c r="O314" s="3" t="s">
        <v>147</v>
      </c>
      <c r="P314" s="69">
        <f>INDEX(DIST1,7,D)</f>
        <v>200</v>
      </c>
      <c r="Q314" s="107" t="s">
        <v>18</v>
      </c>
      <c r="R314" s="107" t="s">
        <v>18</v>
      </c>
      <c r="S314" s="193">
        <v>200</v>
      </c>
      <c r="T314" s="193">
        <v>230</v>
      </c>
      <c r="U314" s="193">
        <v>250</v>
      </c>
      <c r="V314" s="193">
        <v>250</v>
      </c>
      <c r="W314" s="193">
        <v>250</v>
      </c>
      <c r="X314" s="193">
        <v>250</v>
      </c>
      <c r="Y314" s="193">
        <v>280</v>
      </c>
      <c r="Z314" s="193">
        <v>300</v>
      </c>
      <c r="AA314" s="193">
        <v>300</v>
      </c>
      <c r="AB314" s="193">
        <v>300</v>
      </c>
      <c r="AC314" s="193">
        <v>300</v>
      </c>
      <c r="AD314" s="193">
        <v>350</v>
      </c>
      <c r="AE314" s="193">
        <v>400</v>
      </c>
      <c r="AF314" s="193">
        <v>450</v>
      </c>
      <c r="AG314" s="193">
        <v>450</v>
      </c>
      <c r="AH314" s="193">
        <v>500</v>
      </c>
      <c r="AI314" s="193">
        <v>550</v>
      </c>
      <c r="AJ314" s="193">
        <v>580</v>
      </c>
      <c r="AK314" s="193">
        <v>650</v>
      </c>
    </row>
    <row r="315" spans="15:37" ht="12.75">
      <c r="O315" s="3" t="s">
        <v>148</v>
      </c>
      <c r="P315" s="69">
        <f>INDEX(DIST1,8,D)</f>
        <v>250</v>
      </c>
      <c r="Q315" s="107" t="s">
        <v>18</v>
      </c>
      <c r="R315" s="107" t="s">
        <v>18</v>
      </c>
      <c r="S315" s="193">
        <v>250</v>
      </c>
      <c r="T315" s="193">
        <v>270</v>
      </c>
      <c r="U315" s="193">
        <v>300</v>
      </c>
      <c r="V315" s="193">
        <v>300</v>
      </c>
      <c r="W315" s="193">
        <v>300</v>
      </c>
      <c r="X315" s="193">
        <v>300</v>
      </c>
      <c r="Y315" s="193">
        <v>320</v>
      </c>
      <c r="Z315" s="193">
        <v>350</v>
      </c>
      <c r="AA315" s="193">
        <v>350</v>
      </c>
      <c r="AB315" s="193">
        <v>350</v>
      </c>
      <c r="AC315" s="193">
        <v>350</v>
      </c>
      <c r="AD315" s="193">
        <v>400</v>
      </c>
      <c r="AE315" s="193">
        <v>450</v>
      </c>
      <c r="AF315" s="193">
        <v>450</v>
      </c>
      <c r="AG315" s="193">
        <v>500</v>
      </c>
      <c r="AH315" s="193">
        <v>500</v>
      </c>
      <c r="AI315" s="193">
        <v>550</v>
      </c>
      <c r="AJ315" s="193">
        <v>600</v>
      </c>
      <c r="AK315" s="193">
        <v>700</v>
      </c>
    </row>
    <row r="316" spans="15:37" ht="12.75">
      <c r="O316" s="3" t="s">
        <v>149</v>
      </c>
      <c r="P316" s="69">
        <f>INDEX(DIST1,9,D)</f>
        <v>300</v>
      </c>
      <c r="Q316" s="107" t="s">
        <v>18</v>
      </c>
      <c r="R316" s="107" t="s">
        <v>18</v>
      </c>
      <c r="S316" s="193">
        <v>300</v>
      </c>
      <c r="T316" s="193">
        <v>330</v>
      </c>
      <c r="U316" s="193">
        <v>350</v>
      </c>
      <c r="V316" s="193">
        <v>350</v>
      </c>
      <c r="W316" s="193">
        <v>350</v>
      </c>
      <c r="X316" s="193">
        <v>350</v>
      </c>
      <c r="Y316" s="193">
        <v>350</v>
      </c>
      <c r="Z316" s="193">
        <v>350</v>
      </c>
      <c r="AA316" s="193">
        <v>400</v>
      </c>
      <c r="AB316" s="193">
        <v>400</v>
      </c>
      <c r="AC316" s="193">
        <v>400</v>
      </c>
      <c r="AD316" s="193">
        <v>450</v>
      </c>
      <c r="AE316" s="193">
        <v>450</v>
      </c>
      <c r="AF316" s="193">
        <v>500</v>
      </c>
      <c r="AG316" s="193">
        <v>500</v>
      </c>
      <c r="AH316" s="193">
        <v>550</v>
      </c>
      <c r="AI316" s="193">
        <v>600</v>
      </c>
      <c r="AJ316" s="193">
        <v>650</v>
      </c>
      <c r="AK316" s="193">
        <v>700</v>
      </c>
    </row>
    <row r="317" spans="15:37" ht="12.75">
      <c r="O317" s="3" t="s">
        <v>188</v>
      </c>
      <c r="P317" s="69">
        <f>INDEX(DIST1,10,D)</f>
        <v>300</v>
      </c>
      <c r="Q317" s="107" t="s">
        <v>18</v>
      </c>
      <c r="R317" s="107" t="s">
        <v>18</v>
      </c>
      <c r="S317" s="193">
        <v>300</v>
      </c>
      <c r="T317" s="193">
        <v>330</v>
      </c>
      <c r="U317" s="193">
        <v>350</v>
      </c>
      <c r="V317" s="193">
        <v>350</v>
      </c>
      <c r="W317" s="193">
        <v>350</v>
      </c>
      <c r="X317" s="193">
        <v>400</v>
      </c>
      <c r="Y317" s="193">
        <v>400</v>
      </c>
      <c r="Z317" s="193">
        <v>400</v>
      </c>
      <c r="AA317" s="193">
        <v>400</v>
      </c>
      <c r="AB317" s="193">
        <v>430</v>
      </c>
      <c r="AC317" s="193">
        <v>450</v>
      </c>
      <c r="AD317" s="193">
        <v>450</v>
      </c>
      <c r="AE317" s="193">
        <v>500</v>
      </c>
      <c r="AF317" s="193">
        <v>500</v>
      </c>
      <c r="AG317" s="193">
        <v>550</v>
      </c>
      <c r="AH317" s="193">
        <v>600</v>
      </c>
      <c r="AI317" s="193">
        <v>650</v>
      </c>
      <c r="AJ317" s="193">
        <v>650</v>
      </c>
      <c r="AK317" s="193">
        <v>750</v>
      </c>
    </row>
    <row r="318" spans="15:37" ht="12.75">
      <c r="O318" s="3" t="s">
        <v>189</v>
      </c>
      <c r="P318" s="69">
        <f>INDEX(DIST1,11,D)</f>
        <v>350</v>
      </c>
      <c r="Q318" s="107" t="s">
        <v>18</v>
      </c>
      <c r="R318" s="107" t="s">
        <v>18</v>
      </c>
      <c r="S318" s="193">
        <v>350</v>
      </c>
      <c r="T318" s="193">
        <v>370</v>
      </c>
      <c r="U318" s="193">
        <v>400</v>
      </c>
      <c r="V318" s="193">
        <v>400</v>
      </c>
      <c r="W318" s="193">
        <v>400</v>
      </c>
      <c r="X318" s="193">
        <v>400</v>
      </c>
      <c r="Y318" s="193">
        <v>430</v>
      </c>
      <c r="Z318" s="193">
        <v>450</v>
      </c>
      <c r="AA318" s="193">
        <v>450</v>
      </c>
      <c r="AB318" s="193">
        <v>450</v>
      </c>
      <c r="AC318" s="193">
        <v>450</v>
      </c>
      <c r="AD318" s="193">
        <v>500</v>
      </c>
      <c r="AE318" s="193">
        <v>500</v>
      </c>
      <c r="AF318" s="193">
        <v>550</v>
      </c>
      <c r="AG318" s="193">
        <v>550</v>
      </c>
      <c r="AH318" s="193">
        <v>600</v>
      </c>
      <c r="AI318" s="193">
        <v>650</v>
      </c>
      <c r="AJ318" s="193">
        <v>700</v>
      </c>
      <c r="AK318" s="193">
        <v>750</v>
      </c>
    </row>
    <row r="319" spans="15:37" ht="12.75">
      <c r="O319" s="3" t="s">
        <v>190</v>
      </c>
      <c r="P319" s="69">
        <f>INDEX(DIST1,12,D)</f>
        <v>400</v>
      </c>
      <c r="Q319" s="107" t="s">
        <v>18</v>
      </c>
      <c r="R319" s="107" t="s">
        <v>18</v>
      </c>
      <c r="S319" s="193">
        <v>400</v>
      </c>
      <c r="T319" s="193">
        <v>430</v>
      </c>
      <c r="U319" s="193">
        <v>450</v>
      </c>
      <c r="V319" s="193">
        <v>450</v>
      </c>
      <c r="W319" s="193">
        <v>450</v>
      </c>
      <c r="X319" s="193">
        <v>450</v>
      </c>
      <c r="Y319" s="193">
        <v>450</v>
      </c>
      <c r="Z319" s="193">
        <v>450</v>
      </c>
      <c r="AA319" s="193">
        <v>450</v>
      </c>
      <c r="AB319" s="193">
        <v>480</v>
      </c>
      <c r="AC319" s="193">
        <v>500</v>
      </c>
      <c r="AD319" s="193">
        <v>500</v>
      </c>
      <c r="AE319" s="193">
        <v>550</v>
      </c>
      <c r="AF319" s="193">
        <v>600</v>
      </c>
      <c r="AG319" s="193">
        <v>600</v>
      </c>
      <c r="AH319" s="193">
        <v>600</v>
      </c>
      <c r="AI319" s="193">
        <v>650</v>
      </c>
      <c r="AJ319" s="193">
        <v>700</v>
      </c>
      <c r="AK319" s="193">
        <v>750</v>
      </c>
    </row>
    <row r="320" spans="15:37" ht="12.75">
      <c r="O320" s="3" t="s">
        <v>191</v>
      </c>
      <c r="P320" s="69">
        <f>INDEX(DIST1,13,D)</f>
        <v>400</v>
      </c>
      <c r="Q320" s="107" t="s">
        <v>18</v>
      </c>
      <c r="R320" s="107" t="s">
        <v>18</v>
      </c>
      <c r="S320" s="193">
        <v>400</v>
      </c>
      <c r="T320" s="193">
        <v>430</v>
      </c>
      <c r="U320" s="193">
        <v>450</v>
      </c>
      <c r="V320" s="193">
        <v>450</v>
      </c>
      <c r="W320" s="193">
        <v>450</v>
      </c>
      <c r="X320" s="193">
        <v>450</v>
      </c>
      <c r="Y320" s="193">
        <v>480</v>
      </c>
      <c r="Z320" s="193">
        <v>500</v>
      </c>
      <c r="AA320" s="193">
        <v>500</v>
      </c>
      <c r="AB320" s="193">
        <v>530</v>
      </c>
      <c r="AC320" s="193">
        <v>550</v>
      </c>
      <c r="AD320" s="193">
        <v>550</v>
      </c>
      <c r="AE320" s="193">
        <v>600</v>
      </c>
      <c r="AF320" s="193">
        <v>650</v>
      </c>
      <c r="AG320" s="193">
        <v>650</v>
      </c>
      <c r="AH320" s="193">
        <v>650</v>
      </c>
      <c r="AI320" s="193">
        <v>700</v>
      </c>
      <c r="AJ320" s="193">
        <v>750</v>
      </c>
      <c r="AK320" s="193">
        <v>800</v>
      </c>
    </row>
    <row r="321" spans="15:37" ht="12.75">
      <c r="O321" s="3" t="s">
        <v>192</v>
      </c>
      <c r="P321" s="69">
        <f>INDEX(DIST1,14,D)</f>
        <v>420</v>
      </c>
      <c r="Q321" s="107" t="s">
        <v>18</v>
      </c>
      <c r="R321" s="107" t="s">
        <v>18</v>
      </c>
      <c r="S321" s="193">
        <v>420</v>
      </c>
      <c r="T321" s="193">
        <v>450</v>
      </c>
      <c r="U321" s="193">
        <v>480</v>
      </c>
      <c r="V321" s="193">
        <v>500</v>
      </c>
      <c r="W321" s="193">
        <v>500</v>
      </c>
      <c r="X321" s="193">
        <v>500</v>
      </c>
      <c r="Y321" s="193">
        <v>530</v>
      </c>
      <c r="Z321" s="193">
        <v>530</v>
      </c>
      <c r="AA321" s="193">
        <v>550</v>
      </c>
      <c r="AB321" s="193">
        <v>580</v>
      </c>
      <c r="AC321" s="193">
        <v>580</v>
      </c>
      <c r="AD321" s="193">
        <v>600</v>
      </c>
      <c r="AE321" s="193">
        <v>650</v>
      </c>
      <c r="AF321" s="193">
        <v>650</v>
      </c>
      <c r="AG321" s="193">
        <v>700</v>
      </c>
      <c r="AH321" s="193">
        <v>700</v>
      </c>
      <c r="AI321" s="193">
        <v>750</v>
      </c>
      <c r="AJ321" s="193">
        <v>750</v>
      </c>
      <c r="AK321" s="193">
        <v>800</v>
      </c>
    </row>
    <row r="322" spans="15:37" ht="12.75">
      <c r="O322" s="3" t="s">
        <v>193</v>
      </c>
      <c r="P322" s="69">
        <f>INDEX(DIST1,15,D)</f>
        <v>500</v>
      </c>
      <c r="Q322" s="107" t="s">
        <v>18</v>
      </c>
      <c r="R322" s="107" t="s">
        <v>18</v>
      </c>
      <c r="S322" s="193">
        <v>500</v>
      </c>
      <c r="T322" s="193">
        <v>530</v>
      </c>
      <c r="U322" s="193">
        <v>550</v>
      </c>
      <c r="V322" s="193">
        <v>550</v>
      </c>
      <c r="W322" s="193">
        <v>550</v>
      </c>
      <c r="X322" s="193">
        <v>550</v>
      </c>
      <c r="Y322" s="193">
        <v>580</v>
      </c>
      <c r="Z322" s="193">
        <v>600</v>
      </c>
      <c r="AA322" s="193">
        <v>600</v>
      </c>
      <c r="AB322" s="193">
        <v>630</v>
      </c>
      <c r="AC322" s="193">
        <v>650</v>
      </c>
      <c r="AD322" s="193">
        <v>700</v>
      </c>
      <c r="AE322" s="193">
        <v>700</v>
      </c>
      <c r="AF322" s="193">
        <v>750</v>
      </c>
      <c r="AG322" s="193">
        <v>750</v>
      </c>
      <c r="AH322" s="193">
        <v>750</v>
      </c>
      <c r="AI322" s="193">
        <v>800</v>
      </c>
      <c r="AJ322" s="193">
        <v>800</v>
      </c>
      <c r="AK322" s="193">
        <v>850</v>
      </c>
    </row>
    <row r="323" ht="13.5" thickBot="1"/>
    <row r="324" spans="16:37" ht="12.75">
      <c r="P324" s="197">
        <v>8</v>
      </c>
      <c r="Q324" s="53" t="s">
        <v>182</v>
      </c>
      <c r="R324" s="53" t="s">
        <v>183</v>
      </c>
      <c r="S324" s="53" t="s">
        <v>0</v>
      </c>
      <c r="T324" s="54" t="s">
        <v>1</v>
      </c>
      <c r="U324" s="54">
        <v>1</v>
      </c>
      <c r="V324" s="54" t="s">
        <v>2</v>
      </c>
      <c r="W324" s="54" t="s">
        <v>3</v>
      </c>
      <c r="X324" s="54" t="s">
        <v>4</v>
      </c>
      <c r="Y324" s="54" t="s">
        <v>5</v>
      </c>
      <c r="Z324" s="54" t="s">
        <v>6</v>
      </c>
      <c r="AA324" s="54" t="s">
        <v>7</v>
      </c>
      <c r="AB324" s="54" t="s">
        <v>8</v>
      </c>
      <c r="AC324" s="54" t="s">
        <v>9</v>
      </c>
      <c r="AD324" s="54" t="s">
        <v>10</v>
      </c>
      <c r="AE324" s="54" t="s">
        <v>11</v>
      </c>
      <c r="AF324" s="54" t="s">
        <v>12</v>
      </c>
      <c r="AG324" s="54" t="s">
        <v>13</v>
      </c>
      <c r="AH324" s="54" t="s">
        <v>14</v>
      </c>
      <c r="AI324" s="54" t="s">
        <v>15</v>
      </c>
      <c r="AJ324" s="54" t="s">
        <v>16</v>
      </c>
      <c r="AK324" s="55" t="s">
        <v>17</v>
      </c>
    </row>
    <row r="325" spans="15:37" ht="12.75">
      <c r="O325" s="3" t="s">
        <v>143</v>
      </c>
      <c r="P325" s="69">
        <f>INDEX(DIST2,1,D)</f>
        <v>180</v>
      </c>
      <c r="Q325" s="107" t="s">
        <v>18</v>
      </c>
      <c r="R325" s="107" t="s">
        <v>18</v>
      </c>
      <c r="S325" s="193">
        <v>180</v>
      </c>
      <c r="T325" s="193">
        <v>180</v>
      </c>
      <c r="U325" s="193">
        <v>200</v>
      </c>
      <c r="V325" s="193">
        <v>200</v>
      </c>
      <c r="W325" s="193">
        <v>200</v>
      </c>
      <c r="X325" s="193">
        <v>200</v>
      </c>
      <c r="Y325" s="193">
        <v>200</v>
      </c>
      <c r="Z325" s="193">
        <v>250</v>
      </c>
      <c r="AA325" s="193">
        <v>250</v>
      </c>
      <c r="AB325" s="193">
        <v>280</v>
      </c>
      <c r="AC325" s="193">
        <v>300</v>
      </c>
      <c r="AD325" s="193">
        <v>350</v>
      </c>
      <c r="AE325" s="193">
        <v>350</v>
      </c>
      <c r="AF325" s="193">
        <v>400</v>
      </c>
      <c r="AG325" s="193">
        <v>400</v>
      </c>
      <c r="AH325" s="193">
        <v>450</v>
      </c>
      <c r="AI325" s="193">
        <v>500</v>
      </c>
      <c r="AJ325" s="193">
        <v>550</v>
      </c>
      <c r="AK325" s="193">
        <v>600</v>
      </c>
    </row>
    <row r="326" spans="15:37" ht="12.75">
      <c r="O326" s="3" t="s">
        <v>140</v>
      </c>
      <c r="P326" s="69">
        <f>INDEX(DIST2,2,D)</f>
        <v>180</v>
      </c>
      <c r="Q326" s="107" t="s">
        <v>18</v>
      </c>
      <c r="R326" s="107" t="s">
        <v>18</v>
      </c>
      <c r="S326" s="193">
        <v>180</v>
      </c>
      <c r="T326" s="193">
        <v>180</v>
      </c>
      <c r="U326" s="193">
        <v>200</v>
      </c>
      <c r="V326" s="193">
        <v>200</v>
      </c>
      <c r="W326" s="193">
        <v>200</v>
      </c>
      <c r="X326" s="193">
        <v>200</v>
      </c>
      <c r="Y326" s="193">
        <v>230</v>
      </c>
      <c r="Z326" s="193">
        <v>250</v>
      </c>
      <c r="AA326" s="193">
        <v>250</v>
      </c>
      <c r="AB326" s="193">
        <v>280</v>
      </c>
      <c r="AC326" s="193">
        <v>300</v>
      </c>
      <c r="AD326" s="193">
        <v>350</v>
      </c>
      <c r="AE326" s="193">
        <v>350</v>
      </c>
      <c r="AF326" s="193">
        <v>400</v>
      </c>
      <c r="AG326" s="193">
        <v>450</v>
      </c>
      <c r="AH326" s="193">
        <v>450</v>
      </c>
      <c r="AI326" s="193">
        <v>500</v>
      </c>
      <c r="AJ326" s="193">
        <v>550</v>
      </c>
      <c r="AK326" s="193">
        <v>600</v>
      </c>
    </row>
    <row r="327" spans="15:37" ht="12.75">
      <c r="O327" s="3" t="s">
        <v>144</v>
      </c>
      <c r="P327" s="69">
        <f>INDEX(DIST2,3,D)</f>
        <v>190</v>
      </c>
      <c r="Q327" s="107" t="s">
        <v>18</v>
      </c>
      <c r="R327" s="107" t="s">
        <v>18</v>
      </c>
      <c r="S327" s="193">
        <v>190</v>
      </c>
      <c r="T327" s="193">
        <v>210</v>
      </c>
      <c r="U327" s="193">
        <v>230</v>
      </c>
      <c r="V327" s="193">
        <v>230</v>
      </c>
      <c r="W327" s="193">
        <v>230</v>
      </c>
      <c r="X327" s="193">
        <v>230</v>
      </c>
      <c r="Y327" s="193">
        <v>230</v>
      </c>
      <c r="Z327" s="193">
        <v>250</v>
      </c>
      <c r="AA327" s="193">
        <v>280</v>
      </c>
      <c r="AB327" s="193">
        <v>280</v>
      </c>
      <c r="AC327" s="193">
        <v>300</v>
      </c>
      <c r="AD327" s="193">
        <v>350</v>
      </c>
      <c r="AE327" s="193">
        <v>380</v>
      </c>
      <c r="AF327" s="193">
        <v>430</v>
      </c>
      <c r="AG327" s="193">
        <v>450</v>
      </c>
      <c r="AH327" s="193">
        <v>480</v>
      </c>
      <c r="AI327" s="193">
        <v>530</v>
      </c>
      <c r="AJ327" s="193">
        <v>550</v>
      </c>
      <c r="AK327" s="193">
        <v>630</v>
      </c>
    </row>
    <row r="328" spans="15:37" ht="12.75">
      <c r="O328" s="3" t="s">
        <v>145</v>
      </c>
      <c r="P328" s="69">
        <f>INDEX(DIST2,4,D)</f>
        <v>200</v>
      </c>
      <c r="Q328" s="107" t="s">
        <v>18</v>
      </c>
      <c r="R328" s="107" t="s">
        <v>18</v>
      </c>
      <c r="S328" s="193">
        <v>200</v>
      </c>
      <c r="T328" s="193">
        <v>230</v>
      </c>
      <c r="U328" s="193">
        <v>250</v>
      </c>
      <c r="V328" s="193">
        <v>250</v>
      </c>
      <c r="W328" s="193">
        <v>250</v>
      </c>
      <c r="X328" s="193">
        <v>250</v>
      </c>
      <c r="Y328" s="193">
        <v>250</v>
      </c>
      <c r="Z328" s="193">
        <v>250</v>
      </c>
      <c r="AA328" s="193">
        <v>300</v>
      </c>
      <c r="AB328" s="193">
        <v>300</v>
      </c>
      <c r="AC328" s="193">
        <v>300</v>
      </c>
      <c r="AD328" s="193">
        <v>350</v>
      </c>
      <c r="AE328" s="193">
        <v>400</v>
      </c>
      <c r="AF328" s="193">
        <v>450</v>
      </c>
      <c r="AG328" s="193">
        <v>450</v>
      </c>
      <c r="AH328" s="193">
        <v>500</v>
      </c>
      <c r="AI328" s="193">
        <v>550</v>
      </c>
      <c r="AJ328" s="193">
        <v>550</v>
      </c>
      <c r="AK328" s="193">
        <v>650</v>
      </c>
    </row>
    <row r="329" spans="15:37" ht="12.75">
      <c r="O329" s="3" t="s">
        <v>146</v>
      </c>
      <c r="P329" s="69">
        <f>INDEX(DIST2,5,D)</f>
        <v>200</v>
      </c>
      <c r="Q329" s="107" t="s">
        <v>18</v>
      </c>
      <c r="R329" s="107" t="s">
        <v>18</v>
      </c>
      <c r="S329" s="193">
        <v>200</v>
      </c>
      <c r="T329" s="193">
        <v>230</v>
      </c>
      <c r="U329" s="193">
        <v>250</v>
      </c>
      <c r="V329" s="193">
        <v>250</v>
      </c>
      <c r="W329" s="193">
        <v>250</v>
      </c>
      <c r="X329" s="193">
        <v>250</v>
      </c>
      <c r="Y329" s="193">
        <v>280</v>
      </c>
      <c r="Z329" s="193">
        <v>300</v>
      </c>
      <c r="AA329" s="193">
        <v>300</v>
      </c>
      <c r="AB329" s="193">
        <v>330</v>
      </c>
      <c r="AC329" s="193">
        <v>350</v>
      </c>
      <c r="AD329" s="193">
        <v>400</v>
      </c>
      <c r="AE329" s="193">
        <v>400</v>
      </c>
      <c r="AF329" s="193">
        <v>450</v>
      </c>
      <c r="AG329" s="193">
        <v>500</v>
      </c>
      <c r="AH329" s="193">
        <v>500</v>
      </c>
      <c r="AI329" s="193">
        <v>550</v>
      </c>
      <c r="AJ329" s="193">
        <v>600</v>
      </c>
      <c r="AK329" s="193">
        <v>650</v>
      </c>
    </row>
    <row r="330" spans="15:37" ht="12.75">
      <c r="O330" s="3" t="s">
        <v>187</v>
      </c>
      <c r="P330" s="69">
        <f>INDEX(DIST2,6,D)</f>
        <v>220</v>
      </c>
      <c r="Q330" s="107" t="s">
        <v>18</v>
      </c>
      <c r="R330" s="107" t="s">
        <v>18</v>
      </c>
      <c r="S330" s="193">
        <v>220</v>
      </c>
      <c r="T330" s="193">
        <v>250</v>
      </c>
      <c r="U330" s="193">
        <v>280</v>
      </c>
      <c r="V330" s="193">
        <v>280</v>
      </c>
      <c r="W330" s="193">
        <v>280</v>
      </c>
      <c r="X330" s="193">
        <v>280</v>
      </c>
      <c r="Y330" s="193">
        <v>280</v>
      </c>
      <c r="Z330" s="193">
        <v>300</v>
      </c>
      <c r="AA330" s="193">
        <v>330</v>
      </c>
      <c r="AB330" s="193">
        <v>330</v>
      </c>
      <c r="AC330" s="193">
        <v>350</v>
      </c>
      <c r="AD330" s="193">
        <v>400</v>
      </c>
      <c r="AE330" s="193">
        <v>430</v>
      </c>
      <c r="AF330" s="193">
        <v>480</v>
      </c>
      <c r="AG330" s="193">
        <v>500</v>
      </c>
      <c r="AH330" s="193">
        <v>530</v>
      </c>
      <c r="AI330" s="193">
        <v>580</v>
      </c>
      <c r="AJ330" s="193">
        <v>600</v>
      </c>
      <c r="AK330" s="193">
        <v>680</v>
      </c>
    </row>
    <row r="331" spans="15:37" ht="12.75">
      <c r="O331" s="3" t="s">
        <v>147</v>
      </c>
      <c r="P331" s="69">
        <f>INDEX(DIST2,7,D)</f>
        <v>300</v>
      </c>
      <c r="Q331" s="107" t="s">
        <v>18</v>
      </c>
      <c r="R331" s="107" t="s">
        <v>18</v>
      </c>
      <c r="S331" s="193">
        <v>300</v>
      </c>
      <c r="T331" s="193">
        <v>300</v>
      </c>
      <c r="U331" s="193">
        <v>300</v>
      </c>
      <c r="V331" s="193">
        <v>300</v>
      </c>
      <c r="W331" s="193">
        <v>300</v>
      </c>
      <c r="X331" s="193">
        <v>300</v>
      </c>
      <c r="Y331" s="193">
        <v>300</v>
      </c>
      <c r="Z331" s="193">
        <v>300</v>
      </c>
      <c r="AA331" s="193">
        <v>350</v>
      </c>
      <c r="AB331" s="193">
        <v>350</v>
      </c>
      <c r="AC331" s="193">
        <v>350</v>
      </c>
      <c r="AD331" s="193">
        <v>400</v>
      </c>
      <c r="AE331" s="193">
        <v>450</v>
      </c>
      <c r="AF331" s="193">
        <v>500</v>
      </c>
      <c r="AG331" s="193">
        <v>500</v>
      </c>
      <c r="AH331" s="193">
        <v>550</v>
      </c>
      <c r="AI331" s="193">
        <v>600</v>
      </c>
      <c r="AJ331" s="193">
        <v>600</v>
      </c>
      <c r="AK331" s="193">
        <v>700</v>
      </c>
    </row>
    <row r="332" spans="15:37" ht="12.75">
      <c r="O332" s="3" t="s">
        <v>148</v>
      </c>
      <c r="P332" s="69">
        <f>INDEX(DIST2,8,D)</f>
        <v>300</v>
      </c>
      <c r="Q332" s="107" t="s">
        <v>18</v>
      </c>
      <c r="R332" s="107" t="s">
        <v>18</v>
      </c>
      <c r="S332" s="193">
        <v>300</v>
      </c>
      <c r="T332" s="193">
        <v>320</v>
      </c>
      <c r="U332" s="193">
        <v>350</v>
      </c>
      <c r="V332" s="193">
        <v>350</v>
      </c>
      <c r="W332" s="193">
        <v>350</v>
      </c>
      <c r="X332" s="193">
        <v>350</v>
      </c>
      <c r="Y332" s="193">
        <v>350</v>
      </c>
      <c r="Z332" s="193">
        <v>350</v>
      </c>
      <c r="AA332" s="193">
        <v>400</v>
      </c>
      <c r="AB332" s="193">
        <v>400</v>
      </c>
      <c r="AC332" s="193">
        <v>400</v>
      </c>
      <c r="AD332" s="193">
        <v>450</v>
      </c>
      <c r="AE332" s="193">
        <v>500</v>
      </c>
      <c r="AF332" s="193">
        <v>500</v>
      </c>
      <c r="AG332" s="193">
        <v>550</v>
      </c>
      <c r="AH332" s="193">
        <v>550</v>
      </c>
      <c r="AI332" s="193">
        <v>600</v>
      </c>
      <c r="AJ332" s="193">
        <v>650</v>
      </c>
      <c r="AK332" s="193">
        <v>750</v>
      </c>
    </row>
    <row r="333" spans="15:37" ht="12.75">
      <c r="O333" s="3" t="s">
        <v>149</v>
      </c>
      <c r="P333" s="69">
        <f>INDEX(DIST2,9,D)</f>
        <v>300</v>
      </c>
      <c r="Q333" s="107" t="s">
        <v>18</v>
      </c>
      <c r="R333" s="107" t="s">
        <v>18</v>
      </c>
      <c r="S333" s="193">
        <v>300</v>
      </c>
      <c r="T333" s="193">
        <v>320</v>
      </c>
      <c r="U333" s="193">
        <v>350</v>
      </c>
      <c r="V333" s="193">
        <v>350</v>
      </c>
      <c r="W333" s="193">
        <v>350</v>
      </c>
      <c r="X333" s="193">
        <v>350</v>
      </c>
      <c r="Y333" s="193">
        <v>380</v>
      </c>
      <c r="Z333" s="193">
        <v>400</v>
      </c>
      <c r="AA333" s="193">
        <v>400</v>
      </c>
      <c r="AB333" s="193">
        <v>430</v>
      </c>
      <c r="AC333" s="193">
        <v>450</v>
      </c>
      <c r="AD333" s="193">
        <v>500</v>
      </c>
      <c r="AE333" s="193">
        <v>500</v>
      </c>
      <c r="AF333" s="193">
        <v>550</v>
      </c>
      <c r="AG333" s="193">
        <v>550</v>
      </c>
      <c r="AH333" s="193">
        <v>600</v>
      </c>
      <c r="AI333" s="193">
        <v>650</v>
      </c>
      <c r="AJ333" s="193">
        <v>700</v>
      </c>
      <c r="AK333" s="193">
        <v>750</v>
      </c>
    </row>
    <row r="334" spans="15:37" ht="12.75">
      <c r="O334" s="3" t="s">
        <v>188</v>
      </c>
      <c r="P334" s="69">
        <f>INDEX(DIST2,10,D)</f>
        <v>350</v>
      </c>
      <c r="Q334" s="107" t="s">
        <v>18</v>
      </c>
      <c r="R334" s="107" t="s">
        <v>18</v>
      </c>
      <c r="S334" s="193">
        <v>350</v>
      </c>
      <c r="T334" s="193">
        <v>380</v>
      </c>
      <c r="U334" s="193">
        <v>400</v>
      </c>
      <c r="V334" s="193">
        <v>400</v>
      </c>
      <c r="W334" s="193">
        <v>400</v>
      </c>
      <c r="X334" s="193">
        <v>400</v>
      </c>
      <c r="Y334" s="193">
        <v>430</v>
      </c>
      <c r="Z334" s="193">
        <v>450</v>
      </c>
      <c r="AA334" s="193">
        <v>450</v>
      </c>
      <c r="AB334" s="193">
        <v>480</v>
      </c>
      <c r="AC334" s="193">
        <v>500</v>
      </c>
      <c r="AD334" s="193">
        <v>500</v>
      </c>
      <c r="AE334" s="193">
        <v>550</v>
      </c>
      <c r="AF334" s="193">
        <v>550</v>
      </c>
      <c r="AG334" s="193">
        <v>600</v>
      </c>
      <c r="AH334" s="193">
        <v>650</v>
      </c>
      <c r="AI334" s="193">
        <v>700</v>
      </c>
      <c r="AJ334" s="193">
        <v>700</v>
      </c>
      <c r="AK334" s="193">
        <v>800</v>
      </c>
    </row>
    <row r="335" spans="15:37" ht="12.75">
      <c r="O335" s="3" t="s">
        <v>189</v>
      </c>
      <c r="P335" s="69">
        <f>INDEX(DIST2,11,D)</f>
        <v>350</v>
      </c>
      <c r="Q335" s="107" t="s">
        <v>18</v>
      </c>
      <c r="R335" s="107" t="s">
        <v>18</v>
      </c>
      <c r="S335" s="193">
        <v>350</v>
      </c>
      <c r="T335" s="193">
        <v>380</v>
      </c>
      <c r="U335" s="193">
        <v>400</v>
      </c>
      <c r="V335" s="193">
        <v>400</v>
      </c>
      <c r="W335" s="193">
        <v>400</v>
      </c>
      <c r="X335" s="193">
        <v>450</v>
      </c>
      <c r="Y335" s="193">
        <v>450</v>
      </c>
      <c r="Z335" s="193">
        <v>450</v>
      </c>
      <c r="AA335" s="193">
        <v>500</v>
      </c>
      <c r="AB335" s="193">
        <v>500</v>
      </c>
      <c r="AC335" s="193">
        <v>500</v>
      </c>
      <c r="AD335" s="193">
        <v>550</v>
      </c>
      <c r="AE335" s="193">
        <v>550</v>
      </c>
      <c r="AF335" s="193">
        <v>600</v>
      </c>
      <c r="AG335" s="193">
        <v>600</v>
      </c>
      <c r="AH335" s="193">
        <v>650</v>
      </c>
      <c r="AI335" s="193">
        <v>700</v>
      </c>
      <c r="AJ335" s="193">
        <v>750</v>
      </c>
      <c r="AK335" s="193">
        <v>800</v>
      </c>
    </row>
    <row r="336" spans="15:37" ht="12.75">
      <c r="O336" s="3" t="s">
        <v>190</v>
      </c>
      <c r="P336" s="69">
        <f>INDEX(DIST2,12,D)</f>
        <v>400</v>
      </c>
      <c r="Q336" s="107" t="s">
        <v>18</v>
      </c>
      <c r="R336" s="107" t="s">
        <v>18</v>
      </c>
      <c r="S336" s="193">
        <v>400</v>
      </c>
      <c r="T336" s="193">
        <v>420</v>
      </c>
      <c r="U336" s="193">
        <v>450</v>
      </c>
      <c r="V336" s="193">
        <v>450</v>
      </c>
      <c r="W336" s="193">
        <v>450</v>
      </c>
      <c r="X336" s="193">
        <v>450</v>
      </c>
      <c r="Y336" s="193">
        <v>480</v>
      </c>
      <c r="Z336" s="193">
        <v>500</v>
      </c>
      <c r="AA336" s="193">
        <v>500</v>
      </c>
      <c r="AB336" s="193">
        <v>530</v>
      </c>
      <c r="AC336" s="193">
        <v>550</v>
      </c>
      <c r="AD336" s="193">
        <v>550</v>
      </c>
      <c r="AE336" s="193">
        <v>600</v>
      </c>
      <c r="AF336" s="193">
        <v>650</v>
      </c>
      <c r="AG336" s="193">
        <v>650</v>
      </c>
      <c r="AH336" s="193">
        <v>650</v>
      </c>
      <c r="AI336" s="193">
        <v>700</v>
      </c>
      <c r="AJ336" s="193">
        <v>750</v>
      </c>
      <c r="AK336" s="193">
        <v>800</v>
      </c>
    </row>
    <row r="337" spans="15:37" ht="12.75">
      <c r="O337" s="3" t="s">
        <v>191</v>
      </c>
      <c r="P337" s="69">
        <f>INDEX(DIST2,13,D)</f>
        <v>450</v>
      </c>
      <c r="Q337" s="107" t="s">
        <v>18</v>
      </c>
      <c r="R337" s="107" t="s">
        <v>18</v>
      </c>
      <c r="S337" s="193">
        <v>450</v>
      </c>
      <c r="T337" s="193">
        <v>480</v>
      </c>
      <c r="U337" s="193">
        <v>500</v>
      </c>
      <c r="V337" s="193">
        <v>500</v>
      </c>
      <c r="W337" s="193">
        <v>500</v>
      </c>
      <c r="X337" s="193">
        <v>500</v>
      </c>
      <c r="Y337" s="193">
        <v>530</v>
      </c>
      <c r="Z337" s="193">
        <v>550</v>
      </c>
      <c r="AA337" s="193">
        <v>550</v>
      </c>
      <c r="AB337" s="193">
        <v>580</v>
      </c>
      <c r="AC337" s="193">
        <v>600</v>
      </c>
      <c r="AD337" s="193">
        <v>600</v>
      </c>
      <c r="AE337" s="193">
        <v>650</v>
      </c>
      <c r="AF337" s="193">
        <v>700</v>
      </c>
      <c r="AG337" s="193">
        <v>700</v>
      </c>
      <c r="AH337" s="193">
        <v>700</v>
      </c>
      <c r="AI337" s="193">
        <v>750</v>
      </c>
      <c r="AJ337" s="193">
        <v>800</v>
      </c>
      <c r="AK337" s="193">
        <v>850</v>
      </c>
    </row>
    <row r="338" spans="15:37" ht="12.75">
      <c r="O338" s="3" t="s">
        <v>192</v>
      </c>
      <c r="P338" s="69">
        <f>INDEX(DIST2,14,D)</f>
        <v>450</v>
      </c>
      <c r="Q338" s="107" t="s">
        <v>18</v>
      </c>
      <c r="R338" s="107" t="s">
        <v>18</v>
      </c>
      <c r="S338" s="193">
        <v>450</v>
      </c>
      <c r="T338" s="193">
        <v>480</v>
      </c>
      <c r="U338" s="193">
        <v>500</v>
      </c>
      <c r="V338" s="193">
        <v>530</v>
      </c>
      <c r="W338" s="193">
        <v>550</v>
      </c>
      <c r="X338" s="193">
        <v>550</v>
      </c>
      <c r="Y338" s="193">
        <v>550</v>
      </c>
      <c r="Z338" s="193">
        <v>550</v>
      </c>
      <c r="AA338" s="193">
        <v>600</v>
      </c>
      <c r="AB338" s="193">
        <v>600</v>
      </c>
      <c r="AC338" s="193">
        <v>600</v>
      </c>
      <c r="AD338" s="193">
        <v>650</v>
      </c>
      <c r="AE338" s="193">
        <v>700</v>
      </c>
      <c r="AF338" s="193">
        <v>700</v>
      </c>
      <c r="AG338" s="193">
        <v>750</v>
      </c>
      <c r="AH338" s="193">
        <v>750</v>
      </c>
      <c r="AI338" s="193">
        <v>800</v>
      </c>
      <c r="AJ338" s="193">
        <v>800</v>
      </c>
      <c r="AK338" s="193">
        <v>850</v>
      </c>
    </row>
    <row r="339" spans="15:37" ht="12.75">
      <c r="O339" s="3" t="s">
        <v>193</v>
      </c>
      <c r="P339" s="69">
        <f>INDEX(DIST2,15,D)</f>
        <v>550</v>
      </c>
      <c r="Q339" s="107" t="s">
        <v>18</v>
      </c>
      <c r="R339" s="107" t="s">
        <v>18</v>
      </c>
      <c r="S339" s="193">
        <v>550</v>
      </c>
      <c r="T339" s="193">
        <v>570</v>
      </c>
      <c r="U339" s="193">
        <v>600</v>
      </c>
      <c r="V339" s="193">
        <v>600</v>
      </c>
      <c r="W339" s="193">
        <v>600</v>
      </c>
      <c r="X339" s="193">
        <v>600</v>
      </c>
      <c r="Y339" s="193">
        <v>630</v>
      </c>
      <c r="Z339" s="193">
        <v>650</v>
      </c>
      <c r="AA339" s="193">
        <v>650</v>
      </c>
      <c r="AB339" s="193">
        <v>680</v>
      </c>
      <c r="AC339" s="193">
        <v>700</v>
      </c>
      <c r="AD339" s="193">
        <v>700</v>
      </c>
      <c r="AE339" s="193">
        <v>750</v>
      </c>
      <c r="AF339" s="193">
        <v>800</v>
      </c>
      <c r="AG339" s="193">
        <v>800</v>
      </c>
      <c r="AH339" s="193">
        <v>800</v>
      </c>
      <c r="AI339" s="193">
        <v>850</v>
      </c>
      <c r="AJ339" s="193">
        <v>850</v>
      </c>
      <c r="AK339" s="193">
        <v>900</v>
      </c>
    </row>
    <row r="340" ht="13.5" thickBot="1"/>
    <row r="341" spans="16:37" ht="12.75">
      <c r="P341" s="197">
        <v>8</v>
      </c>
      <c r="Q341" s="53" t="s">
        <v>182</v>
      </c>
      <c r="R341" s="53" t="s">
        <v>183</v>
      </c>
      <c r="S341" s="53" t="s">
        <v>0</v>
      </c>
      <c r="T341" s="54" t="s">
        <v>1</v>
      </c>
      <c r="U341" s="54">
        <v>1</v>
      </c>
      <c r="V341" s="54" t="s">
        <v>2</v>
      </c>
      <c r="W341" s="54" t="s">
        <v>3</v>
      </c>
      <c r="X341" s="54" t="s">
        <v>4</v>
      </c>
      <c r="Y341" s="54" t="s">
        <v>5</v>
      </c>
      <c r="Z341" s="54" t="s">
        <v>6</v>
      </c>
      <c r="AA341" s="54" t="s">
        <v>7</v>
      </c>
      <c r="AB341" s="54" t="s">
        <v>8</v>
      </c>
      <c r="AC341" s="54" t="s">
        <v>9</v>
      </c>
      <c r="AD341" s="54" t="s">
        <v>10</v>
      </c>
      <c r="AE341" s="54" t="s">
        <v>11</v>
      </c>
      <c r="AF341" s="54" t="s">
        <v>12</v>
      </c>
      <c r="AG341" s="54" t="s">
        <v>13</v>
      </c>
      <c r="AH341" s="54" t="s">
        <v>14</v>
      </c>
      <c r="AI341" s="54" t="s">
        <v>15</v>
      </c>
      <c r="AJ341" s="54" t="s">
        <v>16</v>
      </c>
      <c r="AK341" s="55" t="s">
        <v>17</v>
      </c>
    </row>
    <row r="342" spans="15:37" ht="12.75">
      <c r="O342" s="3" t="s">
        <v>143</v>
      </c>
      <c r="P342" s="69">
        <f>INDEX(DIST3,1,D)</f>
        <v>150</v>
      </c>
      <c r="Q342" s="107" t="s">
        <v>18</v>
      </c>
      <c r="R342" s="107" t="s">
        <v>18</v>
      </c>
      <c r="S342" s="193">
        <v>150</v>
      </c>
      <c r="T342" s="193">
        <v>150</v>
      </c>
      <c r="U342" s="193">
        <v>150</v>
      </c>
      <c r="V342" s="193">
        <v>150</v>
      </c>
      <c r="W342" s="193">
        <v>150</v>
      </c>
      <c r="X342" s="193">
        <v>150</v>
      </c>
      <c r="Y342" s="193">
        <v>160</v>
      </c>
      <c r="Z342" s="193">
        <v>180</v>
      </c>
      <c r="AA342" s="193">
        <v>200</v>
      </c>
      <c r="AB342" s="193">
        <v>220</v>
      </c>
      <c r="AC342" s="193">
        <v>230</v>
      </c>
      <c r="AD342" s="193">
        <v>250</v>
      </c>
      <c r="AE342" s="193">
        <v>300</v>
      </c>
      <c r="AF342" s="193">
        <v>300</v>
      </c>
      <c r="AG342" s="193">
        <v>350</v>
      </c>
      <c r="AH342" s="193">
        <v>350</v>
      </c>
      <c r="AI342" s="193">
        <v>400</v>
      </c>
      <c r="AJ342" s="193">
        <v>450</v>
      </c>
      <c r="AK342" s="193">
        <v>500</v>
      </c>
    </row>
    <row r="343" spans="15:37" ht="12.75">
      <c r="O343" s="3" t="s">
        <v>140</v>
      </c>
      <c r="P343" s="69">
        <f>INDEX(DIST3,2,D)</f>
        <v>150</v>
      </c>
      <c r="Q343" s="107" t="s">
        <v>18</v>
      </c>
      <c r="R343" s="107" t="s">
        <v>18</v>
      </c>
      <c r="S343" s="193">
        <v>150</v>
      </c>
      <c r="T343" s="193">
        <v>150</v>
      </c>
      <c r="U343" s="193">
        <v>150</v>
      </c>
      <c r="V343" s="193">
        <v>150</v>
      </c>
      <c r="W343" s="193">
        <v>150</v>
      </c>
      <c r="X343" s="193">
        <v>180</v>
      </c>
      <c r="Y343" s="193">
        <v>180</v>
      </c>
      <c r="Z343" s="193">
        <v>200</v>
      </c>
      <c r="AA343" s="193">
        <v>230</v>
      </c>
      <c r="AB343" s="193">
        <v>250</v>
      </c>
      <c r="AC343" s="193">
        <v>250</v>
      </c>
      <c r="AD343" s="193">
        <v>280</v>
      </c>
      <c r="AE343" s="193">
        <v>300</v>
      </c>
      <c r="AF343" s="193">
        <v>350</v>
      </c>
      <c r="AG343" s="193">
        <v>350</v>
      </c>
      <c r="AH343" s="193">
        <v>400</v>
      </c>
      <c r="AI343" s="193">
        <v>400</v>
      </c>
      <c r="AJ343" s="193">
        <v>450</v>
      </c>
      <c r="AK343" s="193">
        <v>500</v>
      </c>
    </row>
    <row r="344" spans="15:37" ht="12.75">
      <c r="O344" s="3" t="s">
        <v>144</v>
      </c>
      <c r="P344" s="69">
        <f>INDEX(DIST3,3,D)</f>
        <v>160</v>
      </c>
      <c r="Q344" s="107" t="s">
        <v>18</v>
      </c>
      <c r="R344" s="107" t="s">
        <v>18</v>
      </c>
      <c r="S344" s="193">
        <v>160</v>
      </c>
      <c r="T344" s="193">
        <v>160</v>
      </c>
      <c r="U344" s="193">
        <v>160</v>
      </c>
      <c r="V344" s="193">
        <v>160</v>
      </c>
      <c r="W344" s="193">
        <v>160</v>
      </c>
      <c r="X344" s="193">
        <v>180</v>
      </c>
      <c r="Y344" s="193">
        <v>180</v>
      </c>
      <c r="Z344" s="193">
        <v>200</v>
      </c>
      <c r="AA344" s="193">
        <v>230</v>
      </c>
      <c r="AB344" s="193">
        <v>250</v>
      </c>
      <c r="AC344" s="193">
        <v>250</v>
      </c>
      <c r="AD344" s="193">
        <v>300</v>
      </c>
      <c r="AE344" s="193">
        <v>330</v>
      </c>
      <c r="AF344" s="193">
        <v>350</v>
      </c>
      <c r="AG344" s="193">
        <v>400</v>
      </c>
      <c r="AH344" s="193">
        <v>400</v>
      </c>
      <c r="AI344" s="193">
        <v>450</v>
      </c>
      <c r="AJ344" s="193">
        <v>500</v>
      </c>
      <c r="AK344" s="193">
        <v>550</v>
      </c>
    </row>
    <row r="345" spans="15:37" ht="12.75">
      <c r="O345" s="3" t="s">
        <v>145</v>
      </c>
      <c r="P345" s="69">
        <f>INDEX(DIST3,4,D)</f>
        <v>180</v>
      </c>
      <c r="Q345" s="107" t="s">
        <v>18</v>
      </c>
      <c r="R345" s="107" t="s">
        <v>18</v>
      </c>
      <c r="S345" s="193">
        <v>180</v>
      </c>
      <c r="T345" s="193">
        <v>180</v>
      </c>
      <c r="U345" s="193">
        <v>180</v>
      </c>
      <c r="V345" s="193">
        <v>180</v>
      </c>
      <c r="W345" s="193">
        <v>180</v>
      </c>
      <c r="X345" s="193">
        <v>200</v>
      </c>
      <c r="Y345" s="193">
        <v>200</v>
      </c>
      <c r="Z345" s="193">
        <v>200</v>
      </c>
      <c r="AA345" s="193">
        <v>230</v>
      </c>
      <c r="AB345" s="193">
        <v>250</v>
      </c>
      <c r="AC345" s="193">
        <v>250</v>
      </c>
      <c r="AD345" s="193">
        <v>300</v>
      </c>
      <c r="AE345" s="193">
        <v>330</v>
      </c>
      <c r="AF345" s="193">
        <v>350</v>
      </c>
      <c r="AG345" s="193">
        <v>400</v>
      </c>
      <c r="AH345" s="193">
        <v>400</v>
      </c>
      <c r="AI345" s="193">
        <v>450</v>
      </c>
      <c r="AJ345" s="193">
        <v>500</v>
      </c>
      <c r="AK345" s="193">
        <v>550</v>
      </c>
    </row>
    <row r="346" spans="15:37" ht="12.75">
      <c r="O346" s="3" t="s">
        <v>146</v>
      </c>
      <c r="P346" s="69">
        <f>INDEX(DIST3,5,D)</f>
        <v>180</v>
      </c>
      <c r="Q346" s="107" t="s">
        <v>18</v>
      </c>
      <c r="R346" s="107" t="s">
        <v>18</v>
      </c>
      <c r="S346" s="193">
        <v>180</v>
      </c>
      <c r="T346" s="193">
        <v>180</v>
      </c>
      <c r="U346" s="193">
        <v>200</v>
      </c>
      <c r="V346" s="193">
        <v>200</v>
      </c>
      <c r="W346" s="193">
        <v>200</v>
      </c>
      <c r="X346" s="193">
        <v>230</v>
      </c>
      <c r="Y346" s="193">
        <v>250</v>
      </c>
      <c r="Z346" s="193">
        <v>250</v>
      </c>
      <c r="AA346" s="193">
        <v>250</v>
      </c>
      <c r="AB346" s="193">
        <v>250</v>
      </c>
      <c r="AC346" s="193">
        <v>280</v>
      </c>
      <c r="AD346" s="193">
        <v>300</v>
      </c>
      <c r="AE346" s="193">
        <v>330</v>
      </c>
      <c r="AF346" s="193">
        <v>400</v>
      </c>
      <c r="AG346" s="193">
        <v>400</v>
      </c>
      <c r="AH346" s="193">
        <v>430</v>
      </c>
      <c r="AI346" s="193">
        <v>450</v>
      </c>
      <c r="AJ346" s="193">
        <v>500</v>
      </c>
      <c r="AK346" s="193">
        <v>500</v>
      </c>
    </row>
    <row r="347" spans="15:37" ht="12.75">
      <c r="O347" s="3" t="s">
        <v>187</v>
      </c>
      <c r="P347" s="69">
        <f>INDEX(DIST3,6,D)</f>
        <v>180</v>
      </c>
      <c r="Q347" s="107" t="s">
        <v>18</v>
      </c>
      <c r="R347" s="107" t="s">
        <v>18</v>
      </c>
      <c r="S347" s="193">
        <v>180</v>
      </c>
      <c r="T347" s="193">
        <v>200</v>
      </c>
      <c r="U347" s="193">
        <v>220</v>
      </c>
      <c r="V347" s="193">
        <v>220</v>
      </c>
      <c r="W347" s="193">
        <v>220</v>
      </c>
      <c r="X347" s="193">
        <v>250</v>
      </c>
      <c r="Y347" s="193">
        <v>250</v>
      </c>
      <c r="Z347" s="193">
        <v>250</v>
      </c>
      <c r="AA347" s="193">
        <v>250</v>
      </c>
      <c r="AB347" s="193">
        <v>280</v>
      </c>
      <c r="AC347" s="193">
        <v>300</v>
      </c>
      <c r="AD347" s="193">
        <v>330</v>
      </c>
      <c r="AE347" s="193">
        <v>350</v>
      </c>
      <c r="AF347" s="193">
        <v>400</v>
      </c>
      <c r="AG347" s="193">
        <v>430</v>
      </c>
      <c r="AH347" s="193">
        <v>450</v>
      </c>
      <c r="AI347" s="193">
        <v>450</v>
      </c>
      <c r="AJ347" s="193">
        <v>520</v>
      </c>
      <c r="AK347" s="193">
        <v>580</v>
      </c>
    </row>
    <row r="348" spans="15:37" ht="12.75">
      <c r="O348" s="3" t="s">
        <v>147</v>
      </c>
      <c r="P348" s="69">
        <f>INDEX(DIST3,7,D)</f>
        <v>180</v>
      </c>
      <c r="Q348" s="107" t="s">
        <v>18</v>
      </c>
      <c r="R348" s="107" t="s">
        <v>18</v>
      </c>
      <c r="S348" s="193">
        <v>180</v>
      </c>
      <c r="T348" s="193">
        <v>210</v>
      </c>
      <c r="U348" s="193">
        <v>230</v>
      </c>
      <c r="V348" s="193">
        <v>230</v>
      </c>
      <c r="W348" s="193">
        <v>230</v>
      </c>
      <c r="X348" s="193">
        <v>250</v>
      </c>
      <c r="Y348" s="193">
        <v>250</v>
      </c>
      <c r="Z348" s="193">
        <v>250</v>
      </c>
      <c r="AA348" s="193">
        <v>280</v>
      </c>
      <c r="AB348" s="193">
        <v>300</v>
      </c>
      <c r="AC348" s="193">
        <v>300</v>
      </c>
      <c r="AD348" s="193">
        <v>330</v>
      </c>
      <c r="AE348" s="193">
        <v>350</v>
      </c>
      <c r="AF348" s="193">
        <v>400</v>
      </c>
      <c r="AG348" s="193">
        <v>430</v>
      </c>
      <c r="AH348" s="193">
        <v>450</v>
      </c>
      <c r="AI348" s="193">
        <v>500</v>
      </c>
      <c r="AJ348" s="193">
        <v>520</v>
      </c>
      <c r="AK348" s="193">
        <v>600</v>
      </c>
    </row>
    <row r="349" spans="15:37" ht="12.75">
      <c r="O349" s="3" t="s">
        <v>148</v>
      </c>
      <c r="P349" s="69">
        <f>INDEX(DIST3,8,D)</f>
        <v>200</v>
      </c>
      <c r="Q349" s="107" t="s">
        <v>18</v>
      </c>
      <c r="R349" s="107" t="s">
        <v>18</v>
      </c>
      <c r="S349" s="193">
        <v>200</v>
      </c>
      <c r="T349" s="193">
        <v>230</v>
      </c>
      <c r="U349" s="193">
        <v>250</v>
      </c>
      <c r="V349" s="193">
        <v>250</v>
      </c>
      <c r="W349" s="193">
        <v>250</v>
      </c>
      <c r="X349" s="193">
        <v>280</v>
      </c>
      <c r="Y349" s="193">
        <v>300</v>
      </c>
      <c r="Z349" s="193">
        <v>300</v>
      </c>
      <c r="AA349" s="193">
        <v>300</v>
      </c>
      <c r="AB349" s="193">
        <v>330</v>
      </c>
      <c r="AC349" s="193">
        <v>330</v>
      </c>
      <c r="AD349" s="193">
        <v>350</v>
      </c>
      <c r="AE349" s="193">
        <v>380</v>
      </c>
      <c r="AF349" s="193">
        <v>430</v>
      </c>
      <c r="AG349" s="193">
        <v>450</v>
      </c>
      <c r="AH349" s="193">
        <v>500</v>
      </c>
      <c r="AI349" s="193">
        <v>500</v>
      </c>
      <c r="AJ349" s="193">
        <v>550</v>
      </c>
      <c r="AK349" s="193">
        <v>620</v>
      </c>
    </row>
    <row r="350" spans="15:37" ht="12.75">
      <c r="O350" s="3" t="s">
        <v>149</v>
      </c>
      <c r="P350" s="69">
        <f>INDEX(DIST3,9,D)</f>
        <v>250</v>
      </c>
      <c r="Q350" s="107" t="s">
        <v>18</v>
      </c>
      <c r="R350" s="107" t="s">
        <v>18</v>
      </c>
      <c r="S350" s="193">
        <v>250</v>
      </c>
      <c r="T350" s="193">
        <v>280</v>
      </c>
      <c r="U350" s="193">
        <v>300</v>
      </c>
      <c r="V350" s="193">
        <v>300</v>
      </c>
      <c r="W350" s="193">
        <v>300</v>
      </c>
      <c r="X350" s="193">
        <v>300</v>
      </c>
      <c r="Y350" s="193">
        <v>330</v>
      </c>
      <c r="Z350" s="193">
        <v>330</v>
      </c>
      <c r="AA350" s="193">
        <v>330</v>
      </c>
      <c r="AB350" s="193">
        <v>350</v>
      </c>
      <c r="AC350" s="193">
        <v>350</v>
      </c>
      <c r="AD350" s="193">
        <v>380</v>
      </c>
      <c r="AE350" s="193">
        <v>400</v>
      </c>
      <c r="AF350" s="193">
        <v>450</v>
      </c>
      <c r="AG350" s="193">
        <v>480</v>
      </c>
      <c r="AH350" s="193">
        <v>550</v>
      </c>
      <c r="AI350" s="193">
        <v>550</v>
      </c>
      <c r="AJ350" s="193">
        <v>550</v>
      </c>
      <c r="AK350" s="193">
        <v>650</v>
      </c>
    </row>
    <row r="351" spans="15:37" ht="12.75">
      <c r="O351" s="3" t="s">
        <v>188</v>
      </c>
      <c r="P351" s="69">
        <f>INDEX(DIST3,10,D)</f>
        <v>250</v>
      </c>
      <c r="Q351" s="107" t="s">
        <v>18</v>
      </c>
      <c r="R351" s="107" t="s">
        <v>18</v>
      </c>
      <c r="S351" s="193">
        <v>250</v>
      </c>
      <c r="T351" s="193">
        <v>280</v>
      </c>
      <c r="U351" s="193">
        <v>300</v>
      </c>
      <c r="V351" s="193">
        <v>300</v>
      </c>
      <c r="W351" s="193">
        <v>300</v>
      </c>
      <c r="X351" s="193">
        <v>350</v>
      </c>
      <c r="Y351" s="193">
        <v>350</v>
      </c>
      <c r="Z351" s="193">
        <v>350</v>
      </c>
      <c r="AA351" s="193">
        <v>400</v>
      </c>
      <c r="AB351" s="193">
        <v>400</v>
      </c>
      <c r="AC351" s="193">
        <v>400</v>
      </c>
      <c r="AD351" s="193">
        <v>430</v>
      </c>
      <c r="AE351" s="193">
        <v>450</v>
      </c>
      <c r="AF351" s="193">
        <v>480</v>
      </c>
      <c r="AG351" s="193">
        <v>500</v>
      </c>
      <c r="AH351" s="193">
        <v>550</v>
      </c>
      <c r="AI351" s="193">
        <v>550</v>
      </c>
      <c r="AJ351" s="193">
        <v>600</v>
      </c>
      <c r="AK351" s="193">
        <v>650</v>
      </c>
    </row>
    <row r="352" spans="15:37" ht="12.75">
      <c r="O352" s="3" t="s">
        <v>189</v>
      </c>
      <c r="P352" s="69">
        <f>INDEX(DIST3,11,D)</f>
        <v>300</v>
      </c>
      <c r="Q352" s="107" t="s">
        <v>18</v>
      </c>
      <c r="R352" s="107" t="s">
        <v>18</v>
      </c>
      <c r="S352" s="193">
        <v>300</v>
      </c>
      <c r="T352" s="193">
        <v>330</v>
      </c>
      <c r="U352" s="193">
        <v>350</v>
      </c>
      <c r="V352" s="193">
        <v>350</v>
      </c>
      <c r="W352" s="193">
        <v>350</v>
      </c>
      <c r="X352" s="193">
        <v>350</v>
      </c>
      <c r="Y352" s="193">
        <v>400</v>
      </c>
      <c r="Z352" s="193">
        <v>400</v>
      </c>
      <c r="AA352" s="193">
        <v>400</v>
      </c>
      <c r="AB352" s="193">
        <v>430</v>
      </c>
      <c r="AC352" s="193">
        <v>430</v>
      </c>
      <c r="AD352" s="193">
        <v>450</v>
      </c>
      <c r="AE352" s="193">
        <v>480</v>
      </c>
      <c r="AF352" s="193">
        <v>500</v>
      </c>
      <c r="AG352" s="193">
        <v>500</v>
      </c>
      <c r="AH352" s="193">
        <v>550</v>
      </c>
      <c r="AI352" s="193">
        <v>600</v>
      </c>
      <c r="AJ352" s="193">
        <v>620</v>
      </c>
      <c r="AK352" s="193">
        <v>700</v>
      </c>
    </row>
    <row r="353" spans="15:37" ht="12.75">
      <c r="O353" s="3" t="s">
        <v>190</v>
      </c>
      <c r="P353" s="69">
        <f>INDEX(DIST3,12,D)</f>
        <v>300</v>
      </c>
      <c r="Q353" s="107" t="s">
        <v>18</v>
      </c>
      <c r="R353" s="107" t="s">
        <v>18</v>
      </c>
      <c r="S353" s="193">
        <v>300</v>
      </c>
      <c r="T353" s="193">
        <v>330</v>
      </c>
      <c r="U353" s="193">
        <v>350</v>
      </c>
      <c r="V353" s="193">
        <v>350</v>
      </c>
      <c r="W353" s="193">
        <v>350</v>
      </c>
      <c r="X353" s="193">
        <v>400</v>
      </c>
      <c r="Y353" s="193">
        <v>400</v>
      </c>
      <c r="Z353" s="193">
        <v>400</v>
      </c>
      <c r="AA353" s="193">
        <v>430</v>
      </c>
      <c r="AB353" s="193">
        <v>450</v>
      </c>
      <c r="AC353" s="193">
        <v>450</v>
      </c>
      <c r="AD353" s="193">
        <v>500</v>
      </c>
      <c r="AE353" s="193">
        <v>550</v>
      </c>
      <c r="AF353" s="193">
        <v>550</v>
      </c>
      <c r="AG353" s="193">
        <v>550</v>
      </c>
      <c r="AH353" s="193">
        <v>580</v>
      </c>
      <c r="AI353" s="193">
        <v>600</v>
      </c>
      <c r="AJ353" s="193">
        <v>650</v>
      </c>
      <c r="AK353" s="193">
        <v>700</v>
      </c>
    </row>
    <row r="354" spans="15:37" ht="12.75">
      <c r="O354" s="3" t="s">
        <v>191</v>
      </c>
      <c r="P354" s="69">
        <f>INDEX(DIST3,13,D)</f>
        <v>350</v>
      </c>
      <c r="Q354" s="107" t="s">
        <v>18</v>
      </c>
      <c r="R354" s="107" t="s">
        <v>18</v>
      </c>
      <c r="S354" s="193">
        <v>350</v>
      </c>
      <c r="T354" s="193">
        <v>380</v>
      </c>
      <c r="U354" s="193">
        <v>400</v>
      </c>
      <c r="V354" s="193">
        <v>400</v>
      </c>
      <c r="W354" s="193">
        <v>400</v>
      </c>
      <c r="X354" s="193">
        <v>400</v>
      </c>
      <c r="Y354" s="193">
        <v>450</v>
      </c>
      <c r="Z354" s="193">
        <v>450</v>
      </c>
      <c r="AA354" s="193">
        <v>450</v>
      </c>
      <c r="AB354" s="193">
        <v>450</v>
      </c>
      <c r="AC354" s="193">
        <v>500</v>
      </c>
      <c r="AD354" s="193">
        <v>500</v>
      </c>
      <c r="AE354" s="193">
        <v>550</v>
      </c>
      <c r="AF354" s="193">
        <v>550</v>
      </c>
      <c r="AG354" s="193">
        <v>600</v>
      </c>
      <c r="AH354" s="193">
        <v>600</v>
      </c>
      <c r="AI354" s="193">
        <v>630</v>
      </c>
      <c r="AJ354" s="193">
        <v>700</v>
      </c>
      <c r="AK354" s="193">
        <v>750</v>
      </c>
    </row>
    <row r="355" spans="15:37" ht="12.75">
      <c r="O355" s="3" t="s">
        <v>192</v>
      </c>
      <c r="P355" s="69">
        <f>INDEX(DIST3,14,D)</f>
        <v>400</v>
      </c>
      <c r="Q355" s="107" t="s">
        <v>18</v>
      </c>
      <c r="R355" s="107" t="s">
        <v>18</v>
      </c>
      <c r="S355" s="193">
        <v>400</v>
      </c>
      <c r="T355" s="193">
        <v>430</v>
      </c>
      <c r="U355" s="193">
        <v>450</v>
      </c>
      <c r="V355" s="193">
        <v>450</v>
      </c>
      <c r="W355" s="193">
        <v>450</v>
      </c>
      <c r="X355" s="193">
        <v>450</v>
      </c>
      <c r="Y355" s="193">
        <v>500</v>
      </c>
      <c r="Z355" s="193">
        <v>500</v>
      </c>
      <c r="AA355" s="193">
        <v>500</v>
      </c>
      <c r="AB355" s="193">
        <v>520</v>
      </c>
      <c r="AC355" s="193">
        <v>520</v>
      </c>
      <c r="AD355" s="193">
        <v>550</v>
      </c>
      <c r="AE355" s="193">
        <v>550</v>
      </c>
      <c r="AF355" s="193">
        <v>600</v>
      </c>
      <c r="AG355" s="193">
        <v>620</v>
      </c>
      <c r="AH355" s="193">
        <v>650</v>
      </c>
      <c r="AI355" s="193">
        <v>700</v>
      </c>
      <c r="AJ355" s="193">
        <v>700</v>
      </c>
      <c r="AK355" s="193">
        <v>750</v>
      </c>
    </row>
    <row r="356" spans="15:38" ht="12.75">
      <c r="O356" s="3" t="s">
        <v>193</v>
      </c>
      <c r="P356" s="69">
        <f>INDEX(DIST3,15,D)</f>
        <v>450</v>
      </c>
      <c r="Q356" s="107" t="s">
        <v>18</v>
      </c>
      <c r="R356" s="107" t="s">
        <v>18</v>
      </c>
      <c r="S356" s="193">
        <v>450</v>
      </c>
      <c r="T356" s="193">
        <v>480</v>
      </c>
      <c r="U356" s="193">
        <v>500</v>
      </c>
      <c r="V356" s="193">
        <v>500</v>
      </c>
      <c r="W356" s="193">
        <v>500</v>
      </c>
      <c r="X356" s="193">
        <v>500</v>
      </c>
      <c r="Y356" s="193">
        <v>550</v>
      </c>
      <c r="Z356" s="193">
        <v>550</v>
      </c>
      <c r="AA356" s="193">
        <v>550</v>
      </c>
      <c r="AB356" s="193">
        <v>580</v>
      </c>
      <c r="AC356" s="193">
        <v>600</v>
      </c>
      <c r="AD356" s="193">
        <v>620</v>
      </c>
      <c r="AE356" s="193">
        <v>650</v>
      </c>
      <c r="AF356" s="193">
        <v>650</v>
      </c>
      <c r="AG356" s="193">
        <v>700</v>
      </c>
      <c r="AH356" s="193">
        <v>700</v>
      </c>
      <c r="AI356" s="193">
        <v>750</v>
      </c>
      <c r="AJ356" s="193">
        <v>750</v>
      </c>
      <c r="AK356" s="193">
        <v>800</v>
      </c>
      <c r="AL356" s="195"/>
    </row>
  </sheetData>
  <sheetProtection sheet="1" objects="1" scenarios="1"/>
  <mergeCells count="31">
    <mergeCell ref="O187:O196"/>
    <mergeCell ref="B49:C49"/>
    <mergeCell ref="O197:O206"/>
    <mergeCell ref="O168:O184"/>
    <mergeCell ref="O141:P141"/>
    <mergeCell ref="O142:P142"/>
    <mergeCell ref="O143:P143"/>
    <mergeCell ref="O149:O165"/>
    <mergeCell ref="O93:P93"/>
    <mergeCell ref="H49:J49"/>
    <mergeCell ref="J54:K54"/>
    <mergeCell ref="O138:P138"/>
    <mergeCell ref="O139:P139"/>
    <mergeCell ref="O140:P140"/>
    <mergeCell ref="O233:O238"/>
    <mergeCell ref="D1:F1"/>
    <mergeCell ref="H1:J1"/>
    <mergeCell ref="O208:O213"/>
    <mergeCell ref="O128:P128"/>
    <mergeCell ref="O129:P129"/>
    <mergeCell ref="O131:P131"/>
    <mergeCell ref="I2:J2"/>
    <mergeCell ref="H23:J23"/>
    <mergeCell ref="B6:C6"/>
    <mergeCell ref="H6:I6"/>
    <mergeCell ref="E6:F6"/>
    <mergeCell ref="O214:O216"/>
    <mergeCell ref="O130:P130"/>
    <mergeCell ref="O132:P132"/>
    <mergeCell ref="O133:P133"/>
    <mergeCell ref="O137:P137"/>
  </mergeCells>
  <printOptions/>
  <pageMargins left="0.75" right="0.75" top="1" bottom="1" header="0" footer="0"/>
  <pageSetup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dimension ref="B2:O26"/>
  <sheetViews>
    <sheetView zoomScalePageLayoutView="0" workbookViewId="0" topLeftCell="A1">
      <selection activeCell="D28" sqref="D28"/>
    </sheetView>
  </sheetViews>
  <sheetFormatPr defaultColWidth="9.140625" defaultRowHeight="12.75"/>
  <cols>
    <col min="1" max="3" width="9.140625" style="0" customWidth="1"/>
    <col min="4" max="4" width="5.7109375" style="0" customWidth="1"/>
    <col min="5" max="5" width="11.421875" style="0" customWidth="1"/>
    <col min="6" max="6" width="4.00390625" style="0" customWidth="1"/>
    <col min="7" max="7" width="10.140625" style="0" customWidth="1"/>
    <col min="8" max="8" width="4.00390625" style="0" customWidth="1"/>
    <col min="9" max="9" width="0.85546875" style="0" customWidth="1"/>
    <col min="10" max="11" width="9.140625" style="0" hidden="1" customWidth="1"/>
    <col min="12" max="12" width="11.140625" style="0" customWidth="1"/>
  </cols>
  <sheetData>
    <row r="1" ht="13.5" thickBot="1"/>
    <row r="2" spans="2:15" ht="16.5" thickBot="1" thickTop="1">
      <c r="B2" s="198" t="s">
        <v>199</v>
      </c>
      <c r="E2" s="199"/>
      <c r="H2" s="200"/>
      <c r="L2" s="198" t="s">
        <v>200</v>
      </c>
      <c r="O2" s="199" t="s">
        <v>201</v>
      </c>
    </row>
    <row r="3" spans="2:15" ht="13.5" thickTop="1">
      <c r="B3" s="201"/>
      <c r="C3" s="202"/>
      <c r="D3" s="203"/>
      <c r="E3" s="204" t="s">
        <v>202</v>
      </c>
      <c r="F3" s="205"/>
      <c r="G3" s="206" t="s">
        <v>202</v>
      </c>
      <c r="H3" s="207"/>
      <c r="L3" s="204" t="s">
        <v>202</v>
      </c>
      <c r="M3" s="203"/>
      <c r="N3" s="201"/>
      <c r="O3" s="202"/>
    </row>
    <row r="4" spans="2:15" ht="12.75">
      <c r="B4" s="208"/>
      <c r="C4" s="209"/>
      <c r="D4" s="210"/>
      <c r="E4" s="211" t="s">
        <v>203</v>
      </c>
      <c r="F4" s="212"/>
      <c r="G4" s="213" t="s">
        <v>204</v>
      </c>
      <c r="H4" s="207"/>
      <c r="L4" s="211" t="s">
        <v>203</v>
      </c>
      <c r="M4" s="210"/>
      <c r="N4" s="208"/>
      <c r="O4" s="209"/>
    </row>
    <row r="5" spans="2:15" ht="12.75">
      <c r="B5" s="214" t="s">
        <v>205</v>
      </c>
      <c r="C5" s="215" t="s">
        <v>206</v>
      </c>
      <c r="D5" s="210"/>
      <c r="E5" s="216">
        <f>IF(K8=0," ",IF(K8&gt;0,SUM(E9:E1098)))</f>
        <v>2235.2</v>
      </c>
      <c r="F5" s="212"/>
      <c r="G5" s="217">
        <f>IF(K8=0," ",IF(K8&gt;0,SUM(G9:G1098)))</f>
        <v>2.2352</v>
      </c>
      <c r="H5" s="207"/>
      <c r="L5" s="211"/>
      <c r="M5" s="210"/>
      <c r="N5" s="214" t="s">
        <v>205</v>
      </c>
      <c r="O5" s="215" t="s">
        <v>206</v>
      </c>
    </row>
    <row r="6" spans="2:15" ht="16.5" thickBot="1">
      <c r="B6" s="218">
        <f>IF(K8=0," ",IF(K8&gt;0,TRUNC(K8)))</f>
        <v>7</v>
      </c>
      <c r="C6" s="219">
        <f>IF(K8=0," ",IF(K8&gt;0,(K8-B6)*12))</f>
        <v>3.9999999999999964</v>
      </c>
      <c r="D6" s="220"/>
      <c r="E6" s="221"/>
      <c r="F6" s="221"/>
      <c r="G6" s="221"/>
      <c r="H6" s="207"/>
      <c r="L6" s="222" t="str">
        <f>IF(R8=0," ",IF(R8&gt;0,SUM(L9:L1833)))</f>
        <v> </v>
      </c>
      <c r="M6" s="223"/>
      <c r="N6" s="224" t="str">
        <f>IF(R8=0," ",IF(R8&gt;0,TRUNC(R8)))</f>
        <v> </v>
      </c>
      <c r="O6" s="225" t="str">
        <f>IF(R8=0," ",IF(R8&gt;0,(R8-N6)*12))</f>
        <v> </v>
      </c>
    </row>
    <row r="7" spans="2:12" ht="13.5" thickTop="1">
      <c r="B7" s="226" t="s">
        <v>207</v>
      </c>
      <c r="H7" s="227"/>
      <c r="L7" s="226" t="s">
        <v>208</v>
      </c>
    </row>
    <row r="8" spans="2:15" ht="13.5" thickBot="1">
      <c r="B8" s="47" t="s">
        <v>205</v>
      </c>
      <c r="C8" s="47" t="s">
        <v>206</v>
      </c>
      <c r="E8" s="47" t="s">
        <v>203</v>
      </c>
      <c r="F8" s="47"/>
      <c r="G8" s="47" t="s">
        <v>204</v>
      </c>
      <c r="H8" s="227"/>
      <c r="K8" s="228">
        <f>SUM(K9:K1262)</f>
        <v>7.333333333333333</v>
      </c>
      <c r="L8" s="47" t="s">
        <v>203</v>
      </c>
      <c r="N8" s="47" t="s">
        <v>205</v>
      </c>
      <c r="O8" s="47" t="s">
        <v>206</v>
      </c>
    </row>
    <row r="9" spans="2:15" ht="13.5" thickTop="1">
      <c r="B9" s="229">
        <v>7</v>
      </c>
      <c r="C9" s="230">
        <v>4</v>
      </c>
      <c r="D9" s="231"/>
      <c r="E9" s="232">
        <f>IF(K9=0," ",IF(K9&gt;0,K9*12*25.4))</f>
        <v>2235.2</v>
      </c>
      <c r="G9" s="233">
        <f>IF(K9=0," ",IF(K9&gt;0,E9/1000))</f>
        <v>2.2352</v>
      </c>
      <c r="H9" s="227"/>
      <c r="I9">
        <f aca="true" t="shared" si="0" ref="I9:I26">(J9+C9)/12</f>
        <v>0.3333333333333333</v>
      </c>
      <c r="K9">
        <f aca="true" t="shared" si="1" ref="K9:K26">I9+B9</f>
        <v>7.333333333333333</v>
      </c>
      <c r="L9" s="234"/>
      <c r="N9" s="235"/>
      <c r="O9" s="236" t="str">
        <f>IF(R9=0," ",IF(R9&gt;0,(R9-N9)*12))</f>
        <v> </v>
      </c>
    </row>
    <row r="10" spans="2:15" ht="12.75">
      <c r="B10" s="237"/>
      <c r="C10" s="238"/>
      <c r="D10" s="231"/>
      <c r="E10" s="239" t="str">
        <f>IF(K10=0," ",IF(K10&gt;0,K10*12*25.4))</f>
        <v> </v>
      </c>
      <c r="G10" s="240" t="str">
        <f>IF(K10=0," ",IF(K10&gt;0,E10/1000))</f>
        <v> </v>
      </c>
      <c r="H10" s="227"/>
      <c r="I10">
        <f t="shared" si="0"/>
        <v>0</v>
      </c>
      <c r="K10">
        <f t="shared" si="1"/>
        <v>0</v>
      </c>
      <c r="L10" s="241"/>
      <c r="N10" s="242" t="str">
        <f>IF(R10=0," ",IF(R10&gt;0,TRUNC(R10)))</f>
        <v> </v>
      </c>
      <c r="O10" s="243" t="str">
        <f>IF(R10=0," ",IF(R10&gt;0,(R10-N10)*12))</f>
        <v> </v>
      </c>
    </row>
    <row r="11" spans="2:15" ht="12.75">
      <c r="B11" s="237"/>
      <c r="C11" s="238"/>
      <c r="D11" s="231"/>
      <c r="E11" s="239" t="str">
        <f aca="true" t="shared" si="2" ref="E11:E26">IF(K11=0," ",IF(K11&gt;0,K11*12*25.4))</f>
        <v> </v>
      </c>
      <c r="G11" s="240" t="str">
        <f aca="true" t="shared" si="3" ref="G11:G26">IF(K11=0," ",IF(K11&gt;0,E11/1000))</f>
        <v> </v>
      </c>
      <c r="H11" s="227"/>
      <c r="I11">
        <f t="shared" si="0"/>
        <v>0</v>
      </c>
      <c r="K11">
        <f t="shared" si="1"/>
        <v>0</v>
      </c>
      <c r="L11" s="241"/>
      <c r="N11" s="242" t="str">
        <f aca="true" t="shared" si="4" ref="N11:N26">IF(R11=0," ",IF(R11&gt;0,TRUNC(R11)))</f>
        <v> </v>
      </c>
      <c r="O11" s="243" t="str">
        <f aca="true" t="shared" si="5" ref="O11:O26">IF(R11=0," ",IF(R11&gt;0,(R11-N11)*12))</f>
        <v> </v>
      </c>
    </row>
    <row r="12" spans="2:15" ht="12.75">
      <c r="B12" s="237"/>
      <c r="C12" s="238"/>
      <c r="D12" s="231"/>
      <c r="E12" s="239" t="str">
        <f t="shared" si="2"/>
        <v> </v>
      </c>
      <c r="G12" s="240" t="str">
        <f t="shared" si="3"/>
        <v> </v>
      </c>
      <c r="H12" s="227"/>
      <c r="I12">
        <f t="shared" si="0"/>
        <v>0</v>
      </c>
      <c r="K12">
        <f t="shared" si="1"/>
        <v>0</v>
      </c>
      <c r="L12" s="241"/>
      <c r="N12" s="242" t="str">
        <f t="shared" si="4"/>
        <v> </v>
      </c>
      <c r="O12" s="243" t="str">
        <f t="shared" si="5"/>
        <v> </v>
      </c>
    </row>
    <row r="13" spans="2:15" ht="12.75">
      <c r="B13" s="237"/>
      <c r="C13" s="238"/>
      <c r="D13" s="231"/>
      <c r="E13" s="239" t="str">
        <f t="shared" si="2"/>
        <v> </v>
      </c>
      <c r="G13" s="240" t="str">
        <f t="shared" si="3"/>
        <v> </v>
      </c>
      <c r="H13" s="227"/>
      <c r="I13">
        <f t="shared" si="0"/>
        <v>0</v>
      </c>
      <c r="K13">
        <f t="shared" si="1"/>
        <v>0</v>
      </c>
      <c r="L13" s="241"/>
      <c r="N13" s="242" t="str">
        <f t="shared" si="4"/>
        <v> </v>
      </c>
      <c r="O13" s="243" t="str">
        <f t="shared" si="5"/>
        <v> </v>
      </c>
    </row>
    <row r="14" spans="2:15" ht="12.75">
      <c r="B14" s="237"/>
      <c r="C14" s="238"/>
      <c r="D14" s="231"/>
      <c r="E14" s="239" t="str">
        <f t="shared" si="2"/>
        <v> </v>
      </c>
      <c r="G14" s="240" t="str">
        <f t="shared" si="3"/>
        <v> </v>
      </c>
      <c r="H14" s="227"/>
      <c r="I14">
        <f t="shared" si="0"/>
        <v>0</v>
      </c>
      <c r="K14">
        <f t="shared" si="1"/>
        <v>0</v>
      </c>
      <c r="L14" s="241"/>
      <c r="N14" s="242" t="str">
        <f t="shared" si="4"/>
        <v> </v>
      </c>
      <c r="O14" s="243" t="str">
        <f t="shared" si="5"/>
        <v> </v>
      </c>
    </row>
    <row r="15" spans="2:15" ht="12.75">
      <c r="B15" s="237"/>
      <c r="C15" s="238"/>
      <c r="D15" s="231"/>
      <c r="E15" s="239" t="str">
        <f t="shared" si="2"/>
        <v> </v>
      </c>
      <c r="G15" s="240" t="str">
        <f t="shared" si="3"/>
        <v> </v>
      </c>
      <c r="H15" s="227"/>
      <c r="I15">
        <f t="shared" si="0"/>
        <v>0</v>
      </c>
      <c r="K15">
        <f t="shared" si="1"/>
        <v>0</v>
      </c>
      <c r="L15" s="241"/>
      <c r="N15" s="242" t="str">
        <f t="shared" si="4"/>
        <v> </v>
      </c>
      <c r="O15" s="243" t="str">
        <f t="shared" si="5"/>
        <v> </v>
      </c>
    </row>
    <row r="16" spans="2:15" ht="12.75">
      <c r="B16" s="237"/>
      <c r="C16" s="238"/>
      <c r="D16" s="231"/>
      <c r="E16" s="239" t="str">
        <f t="shared" si="2"/>
        <v> </v>
      </c>
      <c r="G16" s="240" t="str">
        <f t="shared" si="3"/>
        <v> </v>
      </c>
      <c r="H16" s="227"/>
      <c r="I16">
        <f t="shared" si="0"/>
        <v>0</v>
      </c>
      <c r="K16">
        <f t="shared" si="1"/>
        <v>0</v>
      </c>
      <c r="L16" s="241"/>
      <c r="N16" s="242" t="str">
        <f t="shared" si="4"/>
        <v> </v>
      </c>
      <c r="O16" s="243" t="str">
        <f t="shared" si="5"/>
        <v> </v>
      </c>
    </row>
    <row r="17" spans="2:15" ht="12.75">
      <c r="B17" s="237"/>
      <c r="C17" s="238"/>
      <c r="D17" s="231"/>
      <c r="E17" s="239" t="str">
        <f t="shared" si="2"/>
        <v> </v>
      </c>
      <c r="G17" s="240" t="str">
        <f t="shared" si="3"/>
        <v> </v>
      </c>
      <c r="H17" s="227"/>
      <c r="I17">
        <f t="shared" si="0"/>
        <v>0</v>
      </c>
      <c r="K17">
        <f t="shared" si="1"/>
        <v>0</v>
      </c>
      <c r="L17" s="241"/>
      <c r="N17" s="242" t="str">
        <f t="shared" si="4"/>
        <v> </v>
      </c>
      <c r="O17" s="243" t="str">
        <f t="shared" si="5"/>
        <v> </v>
      </c>
    </row>
    <row r="18" spans="2:15" ht="12.75">
      <c r="B18" s="237"/>
      <c r="C18" s="238"/>
      <c r="D18" s="231"/>
      <c r="E18" s="239" t="str">
        <f t="shared" si="2"/>
        <v> </v>
      </c>
      <c r="G18" s="240" t="str">
        <f t="shared" si="3"/>
        <v> </v>
      </c>
      <c r="H18" s="227"/>
      <c r="I18">
        <f t="shared" si="0"/>
        <v>0</v>
      </c>
      <c r="K18">
        <f t="shared" si="1"/>
        <v>0</v>
      </c>
      <c r="L18" s="241"/>
      <c r="N18" s="242" t="str">
        <f t="shared" si="4"/>
        <v> </v>
      </c>
      <c r="O18" s="243" t="str">
        <f t="shared" si="5"/>
        <v> </v>
      </c>
    </row>
    <row r="19" spans="2:15" ht="12.75">
      <c r="B19" s="237"/>
      <c r="C19" s="238"/>
      <c r="D19" s="231"/>
      <c r="E19" s="239" t="str">
        <f t="shared" si="2"/>
        <v> </v>
      </c>
      <c r="G19" s="240" t="str">
        <f t="shared" si="3"/>
        <v> </v>
      </c>
      <c r="H19" s="227"/>
      <c r="I19">
        <f t="shared" si="0"/>
        <v>0</v>
      </c>
      <c r="K19">
        <f t="shared" si="1"/>
        <v>0</v>
      </c>
      <c r="L19" s="241"/>
      <c r="N19" s="242" t="str">
        <f t="shared" si="4"/>
        <v> </v>
      </c>
      <c r="O19" s="243" t="str">
        <f t="shared" si="5"/>
        <v> </v>
      </c>
    </row>
    <row r="20" spans="2:15" ht="12.75">
      <c r="B20" s="237"/>
      <c r="C20" s="238"/>
      <c r="D20" s="231"/>
      <c r="E20" s="239" t="str">
        <f t="shared" si="2"/>
        <v> </v>
      </c>
      <c r="G20" s="240" t="str">
        <f t="shared" si="3"/>
        <v> </v>
      </c>
      <c r="H20" s="227"/>
      <c r="I20">
        <f t="shared" si="0"/>
        <v>0</v>
      </c>
      <c r="K20">
        <f t="shared" si="1"/>
        <v>0</v>
      </c>
      <c r="L20" s="241"/>
      <c r="N20" s="242" t="str">
        <f t="shared" si="4"/>
        <v> </v>
      </c>
      <c r="O20" s="243" t="str">
        <f t="shared" si="5"/>
        <v> </v>
      </c>
    </row>
    <row r="21" spans="2:15" ht="12.75">
      <c r="B21" s="237"/>
      <c r="C21" s="238"/>
      <c r="D21" s="231"/>
      <c r="E21" s="239" t="str">
        <f t="shared" si="2"/>
        <v> </v>
      </c>
      <c r="G21" s="240" t="str">
        <f t="shared" si="3"/>
        <v> </v>
      </c>
      <c r="H21" s="227"/>
      <c r="I21">
        <f t="shared" si="0"/>
        <v>0</v>
      </c>
      <c r="K21">
        <f t="shared" si="1"/>
        <v>0</v>
      </c>
      <c r="L21" s="241"/>
      <c r="N21" s="242" t="str">
        <f t="shared" si="4"/>
        <v> </v>
      </c>
      <c r="O21" s="243" t="str">
        <f t="shared" si="5"/>
        <v> </v>
      </c>
    </row>
    <row r="22" spans="2:15" ht="12.75">
      <c r="B22" s="237"/>
      <c r="C22" s="238"/>
      <c r="D22" s="231"/>
      <c r="E22" s="239" t="str">
        <f t="shared" si="2"/>
        <v> </v>
      </c>
      <c r="G22" s="240" t="str">
        <f t="shared" si="3"/>
        <v> </v>
      </c>
      <c r="H22" s="227"/>
      <c r="I22">
        <f t="shared" si="0"/>
        <v>0</v>
      </c>
      <c r="K22">
        <f t="shared" si="1"/>
        <v>0</v>
      </c>
      <c r="L22" s="241"/>
      <c r="N22" s="242" t="str">
        <f t="shared" si="4"/>
        <v> </v>
      </c>
      <c r="O22" s="243" t="str">
        <f t="shared" si="5"/>
        <v> </v>
      </c>
    </row>
    <row r="23" spans="2:15" ht="12.75">
      <c r="B23" s="237"/>
      <c r="C23" s="238"/>
      <c r="D23" s="231"/>
      <c r="E23" s="239" t="str">
        <f t="shared" si="2"/>
        <v> </v>
      </c>
      <c r="G23" s="240" t="str">
        <f t="shared" si="3"/>
        <v> </v>
      </c>
      <c r="H23" s="227"/>
      <c r="I23">
        <f t="shared" si="0"/>
        <v>0</v>
      </c>
      <c r="K23">
        <f t="shared" si="1"/>
        <v>0</v>
      </c>
      <c r="L23" s="241"/>
      <c r="N23" s="242" t="str">
        <f t="shared" si="4"/>
        <v> </v>
      </c>
      <c r="O23" s="243" t="str">
        <f t="shared" si="5"/>
        <v> </v>
      </c>
    </row>
    <row r="24" spans="2:15" ht="12.75">
      <c r="B24" s="237"/>
      <c r="C24" s="238"/>
      <c r="D24" s="231"/>
      <c r="E24" s="239" t="str">
        <f t="shared" si="2"/>
        <v> </v>
      </c>
      <c r="G24" s="240" t="str">
        <f t="shared" si="3"/>
        <v> </v>
      </c>
      <c r="H24" s="227"/>
      <c r="I24">
        <f t="shared" si="0"/>
        <v>0</v>
      </c>
      <c r="K24">
        <f t="shared" si="1"/>
        <v>0</v>
      </c>
      <c r="L24" s="241"/>
      <c r="N24" s="242" t="str">
        <f t="shared" si="4"/>
        <v> </v>
      </c>
      <c r="O24" s="243" t="str">
        <f t="shared" si="5"/>
        <v> </v>
      </c>
    </row>
    <row r="25" spans="2:15" ht="12.75">
      <c r="B25" s="237"/>
      <c r="C25" s="238"/>
      <c r="D25" s="231"/>
      <c r="E25" s="239" t="str">
        <f t="shared" si="2"/>
        <v> </v>
      </c>
      <c r="G25" s="240" t="str">
        <f t="shared" si="3"/>
        <v> </v>
      </c>
      <c r="H25" s="227"/>
      <c r="I25">
        <f t="shared" si="0"/>
        <v>0</v>
      </c>
      <c r="K25">
        <f t="shared" si="1"/>
        <v>0</v>
      </c>
      <c r="L25" s="241"/>
      <c r="N25" s="242" t="str">
        <f t="shared" si="4"/>
        <v> </v>
      </c>
      <c r="O25" s="243" t="str">
        <f t="shared" si="5"/>
        <v> </v>
      </c>
    </row>
    <row r="26" spans="2:15" ht="12.75">
      <c r="B26" s="237"/>
      <c r="C26" s="238"/>
      <c r="D26" s="231"/>
      <c r="E26" s="239" t="str">
        <f t="shared" si="2"/>
        <v> </v>
      </c>
      <c r="G26" s="240" t="str">
        <f t="shared" si="3"/>
        <v> </v>
      </c>
      <c r="H26" s="227"/>
      <c r="I26">
        <f t="shared" si="0"/>
        <v>0</v>
      </c>
      <c r="K26">
        <f t="shared" si="1"/>
        <v>0</v>
      </c>
      <c r="L26" s="241"/>
      <c r="N26" s="242" t="str">
        <f t="shared" si="4"/>
        <v> </v>
      </c>
      <c r="O26" s="243" t="str">
        <f t="shared" si="5"/>
        <v> </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I32"/>
  <sheetViews>
    <sheetView zoomScalePageLayoutView="0" workbookViewId="0" topLeftCell="A12">
      <selection activeCell="A22" sqref="A22:IV24"/>
    </sheetView>
  </sheetViews>
  <sheetFormatPr defaultColWidth="9.140625" defaultRowHeight="12.75"/>
  <sheetData>
    <row r="1" spans="1:9" ht="12.75">
      <c r="A1" s="244"/>
      <c r="B1" s="244"/>
      <c r="C1" s="244"/>
      <c r="D1" s="244"/>
      <c r="E1" s="244"/>
      <c r="F1" s="244"/>
      <c r="G1" s="244"/>
      <c r="H1" s="244"/>
      <c r="I1" s="244"/>
    </row>
    <row r="2" spans="1:9" ht="12.75">
      <c r="A2" s="244"/>
      <c r="B2" s="244"/>
      <c r="C2" s="244"/>
      <c r="D2" s="244"/>
      <c r="E2" s="244"/>
      <c r="F2" s="244"/>
      <c r="G2" s="244"/>
      <c r="H2" s="244"/>
      <c r="I2" s="244"/>
    </row>
    <row r="3" spans="1:9" ht="12.75">
      <c r="A3" s="244"/>
      <c r="B3" s="244"/>
      <c r="C3" s="244"/>
      <c r="D3" s="244"/>
      <c r="E3" s="244"/>
      <c r="F3" s="244"/>
      <c r="G3" s="244"/>
      <c r="H3" s="244"/>
      <c r="I3" s="244"/>
    </row>
    <row r="4" spans="1:9" ht="12.75">
      <c r="A4" s="244"/>
      <c r="B4" s="244"/>
      <c r="C4" s="244"/>
      <c r="D4" s="244"/>
      <c r="E4" s="244"/>
      <c r="F4" s="244"/>
      <c r="G4" s="244"/>
      <c r="H4" s="244"/>
      <c r="I4" s="244"/>
    </row>
    <row r="5" spans="1:9" ht="12.75">
      <c r="A5" s="245" t="s">
        <v>209</v>
      </c>
      <c r="B5" s="245"/>
      <c r="C5" s="245"/>
      <c r="D5" s="245"/>
      <c r="E5" s="245"/>
      <c r="F5" s="245"/>
      <c r="G5" s="245"/>
      <c r="H5" s="245"/>
      <c r="I5" s="245"/>
    </row>
    <row r="6" spans="1:9" ht="12.75">
      <c r="A6" s="244"/>
      <c r="B6" s="244"/>
      <c r="C6" s="244"/>
      <c r="D6" s="244"/>
      <c r="E6" s="244"/>
      <c r="F6" s="244"/>
      <c r="G6" s="244"/>
      <c r="H6" s="244"/>
      <c r="I6" s="244"/>
    </row>
    <row r="7" spans="1:9" ht="12.75">
      <c r="A7" s="244"/>
      <c r="B7" s="244"/>
      <c r="C7" s="244"/>
      <c r="D7" s="244"/>
      <c r="E7" s="244"/>
      <c r="F7" s="244"/>
      <c r="G7" s="244"/>
      <c r="H7" s="244"/>
      <c r="I7" s="244"/>
    </row>
    <row r="8" spans="1:9" ht="12.75">
      <c r="A8" s="244"/>
      <c r="B8" s="244"/>
      <c r="C8" s="244"/>
      <c r="D8" s="244"/>
      <c r="E8" s="244"/>
      <c r="F8" s="244"/>
      <c r="G8" s="244"/>
      <c r="H8" s="244"/>
      <c r="I8" s="244"/>
    </row>
    <row r="9" spans="1:9" ht="12.75">
      <c r="A9" s="244"/>
      <c r="B9" s="244"/>
      <c r="C9" s="244"/>
      <c r="D9" s="244"/>
      <c r="E9" s="244"/>
      <c r="F9" s="244"/>
      <c r="G9" s="244"/>
      <c r="H9" s="244"/>
      <c r="I9" s="244"/>
    </row>
    <row r="10" spans="1:9" ht="12.75">
      <c r="A10" s="244"/>
      <c r="B10" s="244"/>
      <c r="C10" s="244"/>
      <c r="D10" s="244"/>
      <c r="E10" s="244"/>
      <c r="F10" s="244"/>
      <c r="G10" s="244"/>
      <c r="H10" s="244"/>
      <c r="I10" s="244"/>
    </row>
    <row r="11" spans="1:9" ht="12.75">
      <c r="A11" s="244"/>
      <c r="B11" s="244"/>
      <c r="C11" s="244"/>
      <c r="D11" s="244"/>
      <c r="E11" s="244"/>
      <c r="F11" s="244"/>
      <c r="G11" s="244"/>
      <c r="H11" s="244"/>
      <c r="I11" s="244"/>
    </row>
    <row r="12" spans="1:9" ht="12.75">
      <c r="A12" s="244"/>
      <c r="B12" s="244"/>
      <c r="C12" s="244"/>
      <c r="D12" s="244"/>
      <c r="E12" s="244"/>
      <c r="F12" s="244"/>
      <c r="G12" s="244"/>
      <c r="H12" s="244"/>
      <c r="I12" s="244"/>
    </row>
    <row r="22" spans="1:9" ht="12.75">
      <c r="A22" s="244"/>
      <c r="B22" s="244"/>
      <c r="C22" s="244"/>
      <c r="D22" s="244"/>
      <c r="E22" s="244"/>
      <c r="F22" s="244"/>
      <c r="G22" s="244"/>
      <c r="H22" s="244"/>
      <c r="I22" s="244"/>
    </row>
    <row r="23" spans="1:9" ht="12.75">
      <c r="A23" s="244"/>
      <c r="B23" s="244" t="s">
        <v>210</v>
      </c>
      <c r="C23" s="244" t="s">
        <v>211</v>
      </c>
      <c r="D23" s="244"/>
      <c r="E23" s="244"/>
      <c r="F23" s="244"/>
      <c r="G23" s="244"/>
      <c r="H23" s="244"/>
      <c r="I23" s="244"/>
    </row>
    <row r="24" spans="1:9" ht="12.75">
      <c r="A24" s="244"/>
      <c r="B24" s="244" t="s">
        <v>212</v>
      </c>
      <c r="C24" s="244" t="s">
        <v>213</v>
      </c>
      <c r="D24" s="244"/>
      <c r="E24" s="244"/>
      <c r="F24" s="244"/>
      <c r="G24" s="244"/>
      <c r="H24" s="244"/>
      <c r="I24" s="244"/>
    </row>
    <row r="25" spans="1:9" ht="12.75">
      <c r="A25" s="244"/>
      <c r="B25" s="246" t="s">
        <v>210</v>
      </c>
      <c r="C25" s="247">
        <v>457</v>
      </c>
      <c r="D25" s="248" t="s">
        <v>214</v>
      </c>
      <c r="E25" s="247">
        <v>812</v>
      </c>
      <c r="F25" s="248" t="s">
        <v>214</v>
      </c>
      <c r="G25" s="244"/>
      <c r="H25" s="244"/>
      <c r="I25" s="244"/>
    </row>
    <row r="26" spans="1:9" ht="12.75">
      <c r="A26" s="244"/>
      <c r="B26" s="246" t="s">
        <v>212</v>
      </c>
      <c r="C26" s="247">
        <v>114</v>
      </c>
      <c r="D26" s="248" t="s">
        <v>214</v>
      </c>
      <c r="E26" s="247">
        <v>508</v>
      </c>
      <c r="F26" s="248" t="s">
        <v>214</v>
      </c>
      <c r="G26" s="244"/>
      <c r="H26" s="244"/>
      <c r="I26" s="244"/>
    </row>
    <row r="27" spans="1:9" ht="12.75">
      <c r="A27" s="244"/>
      <c r="B27" s="249"/>
      <c r="C27" s="250"/>
      <c r="D27" s="251"/>
      <c r="E27" s="250"/>
      <c r="F27" s="251"/>
      <c r="G27" s="244"/>
      <c r="H27" s="244"/>
      <c r="I27" s="244"/>
    </row>
    <row r="28" spans="1:9" ht="12.75">
      <c r="A28" s="244"/>
      <c r="B28" s="249" t="s">
        <v>215</v>
      </c>
      <c r="C28" s="252">
        <f>(((C25/2)^2)-((C26/2)^2))^(1/2)</f>
        <v>221.27641085303242</v>
      </c>
      <c r="D28" s="251" t="s">
        <v>214</v>
      </c>
      <c r="E28" s="252">
        <f>((E25/2)^2-(E26/2)^2)^(1/2)</f>
        <v>316.73332631726646</v>
      </c>
      <c r="F28" s="251" t="s">
        <v>214</v>
      </c>
      <c r="G28" s="244"/>
      <c r="H28" s="244"/>
      <c r="I28" s="244"/>
    </row>
    <row r="29" spans="1:9" ht="12.75">
      <c r="A29" s="244"/>
      <c r="B29" s="249"/>
      <c r="C29" s="252"/>
      <c r="D29" s="251"/>
      <c r="E29" s="252"/>
      <c r="F29" s="251"/>
      <c r="G29" s="244"/>
      <c r="H29" s="244"/>
      <c r="I29" s="244"/>
    </row>
    <row r="30" spans="1:9" ht="12.75">
      <c r="A30" s="244"/>
      <c r="B30" s="249" t="s">
        <v>216</v>
      </c>
      <c r="C30" s="252">
        <f>+C28+C26</f>
        <v>335.2764108530324</v>
      </c>
      <c r="D30" s="251" t="s">
        <v>214</v>
      </c>
      <c r="E30" s="252">
        <f>+E28+E26</f>
        <v>824.7333263172665</v>
      </c>
      <c r="F30" s="251" t="s">
        <v>214</v>
      </c>
      <c r="G30" s="244"/>
      <c r="H30" s="244"/>
      <c r="I30" s="244"/>
    </row>
    <row r="31" spans="1:9" ht="12.75">
      <c r="A31" s="244"/>
      <c r="B31" s="249" t="s">
        <v>217</v>
      </c>
      <c r="C31" s="252">
        <f>(C25/2)-C28</f>
        <v>7.2235891469675835</v>
      </c>
      <c r="D31" s="251" t="s">
        <v>214</v>
      </c>
      <c r="E31" s="252">
        <f>(E25/2)-E28</f>
        <v>89.26667368273354</v>
      </c>
      <c r="F31" s="251" t="s">
        <v>214</v>
      </c>
      <c r="G31" s="244"/>
      <c r="H31" s="244"/>
      <c r="I31" s="244"/>
    </row>
    <row r="32" spans="1:9" ht="12.75">
      <c r="A32" s="244"/>
      <c r="B32" s="249" t="s">
        <v>218</v>
      </c>
      <c r="C32" s="253">
        <f>+C30+50</f>
        <v>385.2764108530324</v>
      </c>
      <c r="D32" s="251" t="s">
        <v>214</v>
      </c>
      <c r="E32" s="253">
        <f>+E30+50</f>
        <v>874.7333263172665</v>
      </c>
      <c r="F32" s="251" t="s">
        <v>214</v>
      </c>
      <c r="G32" s="244"/>
      <c r="H32" s="244"/>
      <c r="I32" s="244"/>
    </row>
  </sheetData>
  <sheetProtection/>
  <printOptions/>
  <pageMargins left="0.75" right="0.75" top="1" bottom="1" header="0.5" footer="0.5"/>
  <pageSetup orientation="portrait" paperSize="9"/>
  <legacyDrawing r:id="rId2"/>
  <oleObjects>
    <oleObject progId="AutoCAD.Drawing.15" shapeId="146915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FG Ingeniería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Fernando Golzman</dc:creator>
  <cp:keywords/>
  <dc:description/>
  <cp:lastModifiedBy>Marcelo E. Suárez</cp:lastModifiedBy>
  <cp:lastPrinted>2005-02-21T15:52:30Z</cp:lastPrinted>
  <dcterms:created xsi:type="dcterms:W3CDTF">2003-10-18T13:56:56Z</dcterms:created>
  <dcterms:modified xsi:type="dcterms:W3CDTF">2011-09-07T13:01:42Z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-1057115609</vt:i4>
  </property>
  <property fmtid="{D5CDD505-2E9C-101B-9397-08002B2CF9AE}" pid="3" name="_EmailSubject">
    <vt:lpwstr>DIMPIPE.xls</vt:lpwstr>
  </property>
  <property fmtid="{D5CDD505-2E9C-101B-9397-08002B2CF9AE}" pid="4" name="_AuthorEmail">
    <vt:lpwstr>teapey@techint.com</vt:lpwstr>
  </property>
  <property fmtid="{D5CDD505-2E9C-101B-9397-08002B2CF9AE}" pid="5" name="_AuthorEmailDisplayName">
    <vt:lpwstr>PELUSO Leonardo Pablo    TEI&amp;C</vt:lpwstr>
  </property>
  <property fmtid="{D5CDD505-2E9C-101B-9397-08002B2CF9AE}" pid="6" name="_ReviewingToolsShownOnce">
    <vt:lpwstr/>
  </property>
</Properties>
</file>